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4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5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4.xml" ContentType="application/vnd.openxmlformats-officedocument.drawing+xml"/>
  <Override PartName="/xl/charts/chart6.xml" ContentType="application/vnd.openxmlformats-officedocument.drawingml.chart+xml"/>
  <Override PartName="/xl/drawings/drawing5.xml" ContentType="application/vnd.openxmlformats-officedocument.drawing+xml"/>
  <Override PartName="/xl/charts/chart7.xml" ContentType="application/vnd.openxmlformats-officedocument.drawingml.chart+xml"/>
  <Override PartName="/xl/drawings/drawing6.xml" ContentType="application/vnd.openxmlformats-officedocument.drawing+xml"/>
  <Override PartName="/xl/charts/chart8.xml" ContentType="application/vnd.openxmlformats-officedocument.drawingml.chart+xml"/>
  <Override PartName="/xl/drawings/drawing7.xml" ContentType="application/vnd.openxmlformats-officedocument.drawing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8.xml" ContentType="application/vnd.openxmlformats-officedocument.drawing+xml"/>
  <Override PartName="/xl/charts/chart11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9.xml" ContentType="application/vnd.openxmlformats-officedocument.drawing+xml"/>
  <Override PartName="/xl/charts/chart12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drawings/drawing10.xml" ContentType="application/vnd.openxmlformats-officedocument.drawing+xml"/>
  <Override PartName="/xl/charts/chart13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drawings/drawing11.xml" ContentType="application/vnd.openxmlformats-officedocument.drawing+xml"/>
  <Override PartName="/xl/charts/chart14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theme/themeOverride1.xml" ContentType="application/vnd.openxmlformats-officedocument.themeOverride+xml"/>
  <Override PartName="/xl/drawings/drawing12.xml" ContentType="application/vnd.openxmlformats-officedocument.drawing+xml"/>
  <Override PartName="/xl/charts/chart15.xml" ContentType="application/vnd.openxmlformats-officedocument.drawingml.chart+xml"/>
  <Override PartName="/xl/charts/chart16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drawings/drawing13.xml" ContentType="application/vnd.openxmlformats-officedocument.drawing+xml"/>
  <Override PartName="/xl/charts/chart17.xml" ContentType="application/vnd.openxmlformats-officedocument.drawingml.chart+xml"/>
  <Override PartName="/xl/charts/chart18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charts/chart19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xl/drawings/drawing14.xml" ContentType="application/vnd.openxmlformats-officedocument.drawing+xml"/>
  <Override PartName="/xl/charts/chart20.xml" ContentType="application/vnd.openxmlformats-officedocument.drawingml.chart+xml"/>
  <Override PartName="/xl/charts/style12.xml" ContentType="application/vnd.ms-office.chartstyle+xml"/>
  <Override PartName="/xl/charts/colors12.xml" ContentType="application/vnd.ms-office.chartcolorstyle+xml"/>
  <Override PartName="/xl/drawings/drawing15.xml" ContentType="application/vnd.openxmlformats-officedocument.drawing+xml"/>
  <Override PartName="/xl/charts/chart21.xml" ContentType="application/vnd.openxmlformats-officedocument.drawingml.chart+xml"/>
  <Override PartName="/xl/charts/style13.xml" ContentType="application/vnd.ms-office.chartstyle+xml"/>
  <Override PartName="/xl/charts/colors13.xml" ContentType="application/vnd.ms-office.chartcolorstyle+xml"/>
  <Override PartName="/xl/drawings/drawing16.xml" ContentType="application/vnd.openxmlformats-officedocument.drawing+xml"/>
  <Override PartName="/xl/charts/chart22.xml" ContentType="application/vnd.openxmlformats-officedocument.drawingml.chart+xml"/>
  <Override PartName="/xl/charts/style14.xml" ContentType="application/vnd.ms-office.chartstyle+xml"/>
  <Override PartName="/xl/charts/colors14.xml" ContentType="application/vnd.ms-office.chartcolorstyle+xml"/>
  <Override PartName="/xl/drawings/drawing17.xml" ContentType="application/vnd.openxmlformats-officedocument.drawing+xml"/>
  <Override PartName="/xl/charts/chart23.xml" ContentType="application/vnd.openxmlformats-officedocument.drawingml.chart+xml"/>
  <Override PartName="/xl/charts/style15.xml" ContentType="application/vnd.ms-office.chartstyle+xml"/>
  <Override PartName="/xl/charts/colors15.xml" ContentType="application/vnd.ms-office.chartcolorstyle+xml"/>
  <Override PartName="/xl/drawings/drawing18.xml" ContentType="application/vnd.openxmlformats-officedocument.drawing+xml"/>
  <Override PartName="/xl/charts/chart24.xml" ContentType="application/vnd.openxmlformats-officedocument.drawingml.chart+xml"/>
  <Override PartName="/xl/charts/chart25.xml" ContentType="application/vnd.openxmlformats-officedocument.drawingml.chart+xml"/>
  <Override PartName="/xl/drawings/drawing19.xml" ContentType="application/vnd.openxmlformats-officedocument.drawing+xml"/>
  <Override PartName="/xl/charts/chart26.xml" ContentType="application/vnd.openxmlformats-officedocument.drawingml.chart+xml"/>
  <Override PartName="/xl/charts/chart27.xml" ContentType="application/vnd.openxmlformats-officedocument.drawingml.chart+xml"/>
  <Override PartName="/xl/drawings/drawing20.xml" ContentType="application/vnd.openxmlformats-officedocument.drawing+xml"/>
  <Override PartName="/xl/comments1.xml" ContentType="application/vnd.openxmlformats-officedocument.spreadsheetml.comments+xml"/>
  <Override PartName="/xl/charts/chart28.xml" ContentType="application/vnd.openxmlformats-officedocument.drawingml.chart+xml"/>
  <Override PartName="/xl/drawings/drawing21.xml" ContentType="application/vnd.openxmlformats-officedocument.drawing+xml"/>
  <Override PartName="/xl/charts/chart29.xml" ContentType="application/vnd.openxmlformats-officedocument.drawingml.chart+xml"/>
  <Override PartName="/xl/drawings/drawing22.xml" ContentType="application/vnd.openxmlformats-officedocument.drawing+xml"/>
  <Override PartName="/xl/comments2.xml" ContentType="application/vnd.openxmlformats-officedocument.spreadsheetml.comments+xml"/>
  <Override PartName="/xl/charts/chart30.xml" ContentType="application/vnd.openxmlformats-officedocument.drawingml.chart+xml"/>
  <Override PartName="/xl/charts/chart31.xml" ContentType="application/vnd.openxmlformats-officedocument.drawingml.chart+xml"/>
  <Override PartName="/xl/theme/themeOverride2.xml" ContentType="application/vnd.openxmlformats-officedocument.themeOverride+xml"/>
  <Override PartName="/xl/charts/chart32.xml" ContentType="application/vnd.openxmlformats-officedocument.drawingml.chart+xml"/>
  <Override PartName="/xl/charts/chart33.xml" ContentType="application/vnd.openxmlformats-officedocument.drawingml.chart+xml"/>
  <Override PartName="/xl/charts/chart34.xml" ContentType="application/vnd.openxmlformats-officedocument.drawingml.chart+xml"/>
  <Override PartName="/xl/theme/themeOverride3.xml" ContentType="application/vnd.openxmlformats-officedocument.themeOverride+xml"/>
  <Override PartName="/xl/charts/chart35.xml" ContentType="application/vnd.openxmlformats-officedocument.drawingml.chart+xml"/>
  <Override PartName="/xl/charts/chart36.xml" ContentType="application/vnd.openxmlformats-officedocument.drawingml.chart+xml"/>
  <Override PartName="/xl/charts/chart37.xml" ContentType="application/vnd.openxmlformats-officedocument.drawingml.chart+xml"/>
  <Override PartName="/xl/charts/chart38.xml" ContentType="application/vnd.openxmlformats-officedocument.drawingml.chart+xml"/>
  <Override PartName="/xl/charts/chart39.xml" ContentType="application/vnd.openxmlformats-officedocument.drawingml.chart+xml"/>
  <Override PartName="/xl/charts/chart40.xml" ContentType="application/vnd.openxmlformats-officedocument.drawingml.chart+xml"/>
  <Override PartName="/xl/charts/chart41.xml" ContentType="application/vnd.openxmlformats-officedocument.drawingml.chart+xml"/>
  <Override PartName="/xl/charts/chart42.xml" ContentType="application/vnd.openxmlformats-officedocument.drawingml.chart+xml"/>
  <Override PartName="/xl/charts/chart43.xml" ContentType="application/vnd.openxmlformats-officedocument.drawingml.chart+xml"/>
  <Override PartName="/xl/charts/chart44.xml" ContentType="application/vnd.openxmlformats-officedocument.drawingml.chart+xml"/>
  <Override PartName="/xl/charts/chart45.xml" ContentType="application/vnd.openxmlformats-officedocument.drawingml.chart+xml"/>
  <Override PartName="/xl/charts/chart46.xml" ContentType="application/vnd.openxmlformats-officedocument.drawingml.chart+xml"/>
  <Override PartName="/xl/charts/chart47.xml" ContentType="application/vnd.openxmlformats-officedocument.drawingml.chart+xml"/>
  <Override PartName="/xl/charts/chart48.xml" ContentType="application/vnd.openxmlformats-officedocument.drawingml.chart+xml"/>
  <Override PartName="/xl/charts/chart49.xml" ContentType="application/vnd.openxmlformats-officedocument.drawingml.chart+xml"/>
  <Override PartName="/xl/charts/chart50.xml" ContentType="application/vnd.openxmlformats-officedocument.drawingml.chart+xml"/>
  <Override PartName="/xl/charts/chart51.xml" ContentType="application/vnd.openxmlformats-officedocument.drawingml.chart+xml"/>
  <Override PartName="/xl/charts/chart52.xml" ContentType="application/vnd.openxmlformats-officedocument.drawingml.chart+xml"/>
  <Override PartName="/xl/charts/chart53.xml" ContentType="application/vnd.openxmlformats-officedocument.drawingml.chart+xml"/>
  <Override PartName="/xl/theme/themeOverride4.xml" ContentType="application/vnd.openxmlformats-officedocument.themeOverride+xml"/>
  <Override PartName="/xl/charts/chart54.xml" ContentType="application/vnd.openxmlformats-officedocument.drawingml.chart+xml"/>
  <Override PartName="/xl/theme/themeOverride5.xml" ContentType="application/vnd.openxmlformats-officedocument.themeOverride+xml"/>
  <Override PartName="/xl/charts/chart55.xml" ContentType="application/vnd.openxmlformats-officedocument.drawingml.chart+xml"/>
  <Override PartName="/xl/charts/chart56.xml" ContentType="application/vnd.openxmlformats-officedocument.drawingml.chart+xml"/>
  <Override PartName="/xl/charts/chart57.xml" ContentType="application/vnd.openxmlformats-officedocument.drawingml.chart+xml"/>
  <Override PartName="/xl/charts/chart58.xml" ContentType="application/vnd.openxmlformats-officedocument.drawingml.chart+xml"/>
  <Override PartName="/xl/charts/chart59.xml" ContentType="application/vnd.openxmlformats-officedocument.drawingml.chart+xml"/>
  <Override PartName="/xl/theme/themeOverride6.xml" ContentType="application/vnd.openxmlformats-officedocument.themeOverride+xml"/>
  <Override PartName="/xl/charts/chart60.xml" ContentType="application/vnd.openxmlformats-officedocument.drawingml.chart+xml"/>
  <Override PartName="/xl/theme/themeOverride7.xml" ContentType="application/vnd.openxmlformats-officedocument.themeOverride+xml"/>
  <Override PartName="/xl/drawings/drawing23.xml" ContentType="application/vnd.openxmlformats-officedocument.drawing+xml"/>
  <Override PartName="/xl/charts/chart61.xml" ContentType="application/vnd.openxmlformats-officedocument.drawingml.chart+xml"/>
  <Override PartName="/xl/theme/themeOverride8.xml" ContentType="application/vnd.openxmlformats-officedocument.themeOverride+xml"/>
  <Override PartName="/xl/charts/chart62.xml" ContentType="application/vnd.openxmlformats-officedocument.drawingml.chart+xml"/>
  <Override PartName="/xl/charts/chart63.xml" ContentType="application/vnd.openxmlformats-officedocument.drawingml.chart+xml"/>
  <Override PartName="/xl/charts/chart64.xml" ContentType="application/vnd.openxmlformats-officedocument.drawingml.chart+xml"/>
  <Override PartName="/xl/charts/chart65.xml" ContentType="application/vnd.openxmlformats-officedocument.drawingml.chart+xml"/>
  <Override PartName="/xl/charts/chart66.xml" ContentType="application/vnd.openxmlformats-officedocument.drawingml.chart+xml"/>
  <Override PartName="/xl/charts/chart67.xml" ContentType="application/vnd.openxmlformats-officedocument.drawingml.chart+xml"/>
  <Override PartName="/xl/charts/chart68.xml" ContentType="application/vnd.openxmlformats-officedocument.drawingml.chart+xml"/>
  <Override PartName="/xl/charts/chart69.xml" ContentType="application/vnd.openxmlformats-officedocument.drawingml.chart+xml"/>
  <Override PartName="/xl/charts/chart70.xml" ContentType="application/vnd.openxmlformats-officedocument.drawingml.chart+xml"/>
  <Override PartName="/xl/drawings/drawing24.xml" ContentType="application/vnd.openxmlformats-officedocument.drawing+xml"/>
  <Override PartName="/xl/charts/chart71.xml" ContentType="application/vnd.openxmlformats-officedocument.drawingml.chart+xml"/>
  <Override PartName="/xl/charts/chart7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Reiter Szilvia\W10migracio_ReiterSzilvia\Agrarstatisztika honlap\HITREG - Feltöltendő fájlok\2025_I_negyedéves feltöltés\"/>
    </mc:Choice>
  </mc:AlternateContent>
  <bookViews>
    <workbookView xWindow="-105" yWindow="-105" windowWidth="23250" windowHeight="12570" firstSheet="9" activeTab="20"/>
  </bookViews>
  <sheets>
    <sheet name="allomanyi" sheetId="25" r:id="rId1"/>
    <sheet name="uj_hitelek" sheetId="26" r:id="rId2"/>
    <sheet name="allomanyi_kamatlabak" sheetId="27" r:id="rId3"/>
    <sheet name="uj_hitelek_kamatlabak" sheetId="28" r:id="rId4"/>
    <sheet name="2. ábra" sheetId="1" r:id="rId5"/>
    <sheet name="3. ábra" sheetId="2" r:id="rId6"/>
    <sheet name="4. ábra" sheetId="3" r:id="rId7"/>
    <sheet name="5.ábra" sheetId="4" r:id="rId8"/>
    <sheet name="6. ábra" sheetId="5" r:id="rId9"/>
    <sheet name="7. ábra" sheetId="6" r:id="rId10"/>
    <sheet name="8. ábra" sheetId="7" r:id="rId11"/>
    <sheet name="9. ábra" sheetId="23" r:id="rId12"/>
    <sheet name="10. ábra" sheetId="24" r:id="rId13"/>
    <sheet name="11. ábra" sheetId="21" r:id="rId14"/>
    <sheet name="12. ábra" sheetId="22" r:id="rId15"/>
    <sheet name="13. ábra" sheetId="8" r:id="rId16"/>
    <sheet name="14. ábra" sheetId="9" r:id="rId17"/>
    <sheet name="15. ábra" sheetId="31" r:id="rId18"/>
    <sheet name="16. ábra" sheetId="19" r:id="rId19"/>
    <sheet name="17. ábra" sheetId="32" r:id="rId20"/>
    <sheet name="18. ábra" sheetId="20" r:id="rId21"/>
    <sheet name="allomanyi_adatok_ugyfélszám_db" sheetId="29" r:id="rId22"/>
    <sheet name="uj_hitelek_ugyfelszam_db" sheetId="30" r:id="rId23"/>
    <sheet name="11. ábra_MNB_AM" sheetId="13" r:id="rId24"/>
    <sheet name="11.ábra_MNB_AM_English" sheetId="18" r:id="rId25"/>
    <sheet name="ÉLIP hitelcél szerint állomány" sheetId="10" r:id="rId26"/>
    <sheet name="MG ágazatok szerint" sheetId="11" r:id="rId27"/>
    <sheet name="ÉLIP ágazatok" sheetId="12" r:id="rId28"/>
    <sheet name="Idősorok_ábrák_Állományi" sheetId="14" r:id="rId29"/>
    <sheet name="Idősorok_ábrák_Új" sheetId="15" r:id="rId30"/>
    <sheet name="CR3, CR5 és CR10" sheetId="16" r:id="rId31"/>
    <sheet name="Hitelmegoszlás_szakág_2019Q3" sheetId="17" r:id="rId32"/>
  </sheets>
  <externalReferences>
    <externalReference r:id="rId33"/>
    <externalReference r:id="rId34"/>
    <externalReference r:id="rId35"/>
    <externalReference r:id="rId36"/>
    <externalReference r:id="rId37"/>
    <externalReference r:id="rId38"/>
    <externalReference r:id="rId39"/>
    <externalReference r:id="rId40"/>
    <externalReference r:id="rId41"/>
    <externalReference r:id="rId42"/>
    <externalReference r:id="rId43"/>
    <externalReference r:id="rId44"/>
    <externalReference r:id="rId45"/>
    <externalReference r:id="rId46"/>
    <externalReference r:id="rId47"/>
    <externalReference r:id="rId48"/>
  </externalReferences>
  <definedNames>
    <definedName name="_xlnm._FilterDatabase" localSheetId="27" hidden="1">'ÉLIP ágazatok'!$O$1:$P$16</definedName>
    <definedName name="_Key1" hidden="1">#REF!</definedName>
    <definedName name="_Order1" hidden="1">255</definedName>
    <definedName name="_Sort" hidden="1">#REF!</definedName>
    <definedName name="Á" hidden="1">#REF!</definedName>
    <definedName name="Állományi_2019Q2_Korr" hidden="1">#REF!</definedName>
    <definedName name="année">[1]Dialog!$H$20</definedName>
    <definedName name="annéefin">[1]Dialog!$H$21</definedName>
    <definedName name="B" hidden="1">#REF!</definedName>
    <definedName name="L" hidden="1">#REF!</definedName>
    <definedName name="lg">[1]Textes!$B$1</definedName>
    <definedName name="pays">[1]Textes!$A$328:$Y$355</definedName>
    <definedName name="prod">[1]Textes!$A$8:$X$206</definedName>
    <definedName name="titres">[1]Textes!$A$220:$Y$246</definedName>
    <definedName name="Ú" hidden="1">#REF!</definedName>
    <definedName name="új" hidden="1">#REF!</definedName>
    <definedName name="unités">[1]Textes!$A$208:$Y$218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T9" i="32" l="1"/>
  <c r="S9" i="32"/>
  <c r="M9" i="32"/>
  <c r="P9" i="32"/>
  <c r="Q9" i="32"/>
  <c r="T8" i="32" l="1"/>
  <c r="T7" i="32"/>
  <c r="S8" i="32"/>
  <c r="S7" i="32"/>
  <c r="S9" i="31" l="1"/>
  <c r="R9" i="31"/>
  <c r="S8" i="31"/>
  <c r="R8" i="31"/>
  <c r="V10" i="20" l="1"/>
  <c r="V9" i="20"/>
  <c r="W10" i="20" l="1"/>
  <c r="U9" i="20"/>
  <c r="T9" i="20"/>
  <c r="AA9" i="19"/>
  <c r="AA6" i="19"/>
  <c r="AA5" i="19"/>
  <c r="AA4" i="19"/>
  <c r="AA8" i="19" s="1"/>
  <c r="L32" i="9"/>
  <c r="L27" i="9"/>
  <c r="L35" i="9"/>
  <c r="O38" i="9"/>
  <c r="N38" i="9"/>
  <c r="M38" i="9"/>
  <c r="L38" i="9"/>
  <c r="L7" i="23"/>
  <c r="L11" i="24"/>
  <c r="F48" i="7"/>
  <c r="D48" i="7"/>
  <c r="E58" i="7"/>
  <c r="D58" i="7"/>
  <c r="F58" i="7"/>
  <c r="P9" i="7"/>
  <c r="D45" i="7"/>
  <c r="F45" i="7"/>
  <c r="M24" i="6"/>
  <c r="M23" i="6"/>
  <c r="M22" i="6"/>
  <c r="M21" i="6"/>
  <c r="K24" i="6"/>
  <c r="K23" i="6"/>
  <c r="K22" i="6"/>
  <c r="K21" i="6"/>
  <c r="M5" i="5"/>
  <c r="N3" i="5"/>
  <c r="M39" i="4"/>
  <c r="M38" i="4"/>
  <c r="M37" i="4"/>
  <c r="M36" i="4"/>
  <c r="M33" i="4"/>
  <c r="M32" i="4"/>
  <c r="M31" i="4"/>
  <c r="M30" i="4"/>
  <c r="N4" i="4"/>
  <c r="Q5" i="3"/>
  <c r="Q4" i="3"/>
  <c r="Q3" i="3"/>
  <c r="P5" i="3"/>
  <c r="P4" i="3"/>
  <c r="P3" i="3"/>
  <c r="O5" i="3"/>
  <c r="O4" i="3"/>
  <c r="O3" i="3"/>
  <c r="N5" i="3"/>
  <c r="N4" i="3"/>
  <c r="N3" i="3"/>
  <c r="N36" i="1"/>
  <c r="N35" i="1"/>
  <c r="P36" i="1"/>
  <c r="L22" i="1"/>
  <c r="L21" i="1"/>
  <c r="L9" i="1"/>
  <c r="L8" i="1"/>
  <c r="P35" i="1"/>
  <c r="O35" i="1"/>
  <c r="O36" i="1"/>
  <c r="N14" i="1"/>
  <c r="M14" i="1"/>
  <c r="M21" i="1"/>
  <c r="O37" i="1"/>
  <c r="U8" i="20" l="1"/>
  <c r="U7" i="20"/>
  <c r="U6" i="20"/>
  <c r="U5" i="20"/>
  <c r="T8" i="20"/>
  <c r="T7" i="20"/>
  <c r="T6" i="20"/>
  <c r="T5" i="20"/>
  <c r="T7" i="19"/>
  <c r="T6" i="19"/>
  <c r="T5" i="19"/>
  <c r="T4" i="19"/>
  <c r="S7" i="19"/>
  <c r="S6" i="19"/>
  <c r="S4" i="19"/>
  <c r="S5" i="19"/>
  <c r="J42" i="9"/>
  <c r="J41" i="9"/>
  <c r="J38" i="9"/>
  <c r="J27" i="9"/>
  <c r="J26" i="9"/>
  <c r="J25" i="9"/>
  <c r="J24" i="9"/>
  <c r="J23" i="9"/>
  <c r="J35" i="9"/>
  <c r="O5" i="9"/>
  <c r="O6" i="9"/>
  <c r="O7" i="9"/>
  <c r="O8" i="9"/>
  <c r="O4" i="9"/>
  <c r="N5" i="9"/>
  <c r="N6" i="9"/>
  <c r="N7" i="9"/>
  <c r="N8" i="9"/>
  <c r="N4" i="9"/>
  <c r="M7" i="9"/>
  <c r="M5" i="9"/>
  <c r="M6" i="9"/>
  <c r="M8" i="9"/>
  <c r="M4" i="9"/>
  <c r="L5" i="9"/>
  <c r="L6" i="9"/>
  <c r="L7" i="9"/>
  <c r="L8" i="9"/>
  <c r="L4" i="9"/>
  <c r="J8" i="9"/>
  <c r="J7" i="9"/>
  <c r="J6" i="9"/>
  <c r="J5" i="9"/>
  <c r="J4" i="9"/>
  <c r="I27" i="9"/>
  <c r="Q36" i="8"/>
  <c r="Q35" i="8"/>
  <c r="Q34" i="8"/>
  <c r="Q33" i="8"/>
  <c r="P36" i="8"/>
  <c r="P35" i="8"/>
  <c r="P34" i="8"/>
  <c r="P33" i="8"/>
  <c r="O35" i="8"/>
  <c r="O33" i="8"/>
  <c r="N35" i="8"/>
  <c r="N33" i="8"/>
  <c r="L36" i="8"/>
  <c r="L35" i="8"/>
  <c r="L34" i="8"/>
  <c r="L33" i="8"/>
  <c r="J9" i="8"/>
  <c r="J8" i="8"/>
  <c r="J7" i="8"/>
  <c r="J6" i="8"/>
  <c r="P22" i="1"/>
  <c r="P23" i="1"/>
  <c r="O22" i="1"/>
  <c r="O23" i="1"/>
  <c r="O21" i="1"/>
  <c r="P21" i="1"/>
  <c r="N22" i="1"/>
  <c r="N23" i="1"/>
  <c r="N21" i="1"/>
  <c r="M22" i="1"/>
  <c r="M23" i="1"/>
  <c r="P9" i="1"/>
  <c r="P10" i="1"/>
  <c r="P8" i="1"/>
  <c r="O9" i="1"/>
  <c r="O10" i="1"/>
  <c r="O8" i="1"/>
  <c r="N9" i="1"/>
  <c r="N10" i="1"/>
  <c r="N8" i="1"/>
  <c r="M9" i="1"/>
  <c r="M10" i="1"/>
  <c r="M8" i="1"/>
  <c r="R6" i="7"/>
  <c r="S6" i="7"/>
  <c r="D53" i="7"/>
  <c r="D52" i="7"/>
  <c r="C53" i="7"/>
  <c r="F53" i="7"/>
  <c r="C52" i="7"/>
  <c r="F52" i="7"/>
  <c r="B55" i="7"/>
  <c r="B54" i="7"/>
  <c r="E54" i="7"/>
  <c r="B51" i="7"/>
  <c r="B50" i="7"/>
  <c r="E50" i="7"/>
  <c r="B41" i="7"/>
  <c r="B38" i="7"/>
  <c r="B39" i="7" s="1"/>
  <c r="B37" i="7"/>
  <c r="B36" i="7"/>
  <c r="B35" i="7"/>
  <c r="B34" i="7"/>
  <c r="O6" i="7"/>
  <c r="P6" i="7"/>
  <c r="Q6" i="7"/>
  <c r="N6" i="7"/>
  <c r="M10" i="6"/>
  <c r="M11" i="6"/>
  <c r="M12" i="6"/>
  <c r="M9" i="6"/>
  <c r="L10" i="6"/>
  <c r="L11" i="6"/>
  <c r="L12" i="6"/>
  <c r="L9" i="6"/>
  <c r="O4" i="6"/>
  <c r="O5" i="6"/>
  <c r="O6" i="6"/>
  <c r="O3" i="6"/>
  <c r="N4" i="6"/>
  <c r="N5" i="6"/>
  <c r="N6" i="6"/>
  <c r="N3" i="6"/>
  <c r="M4" i="6"/>
  <c r="M5" i="6"/>
  <c r="M6" i="6"/>
  <c r="M3" i="6"/>
  <c r="L4" i="6"/>
  <c r="L5" i="6"/>
  <c r="L6" i="6"/>
  <c r="L3" i="6"/>
  <c r="J12" i="6"/>
  <c r="J11" i="6"/>
  <c r="J10" i="6"/>
  <c r="J9" i="6"/>
  <c r="J6" i="6"/>
  <c r="J5" i="6"/>
  <c r="J4" i="6"/>
  <c r="J3" i="6"/>
  <c r="Q4" i="5"/>
  <c r="Q5" i="5"/>
  <c r="Q3" i="5"/>
  <c r="P4" i="5"/>
  <c r="P5" i="5"/>
  <c r="P3" i="5"/>
  <c r="O4" i="5"/>
  <c r="O5" i="5"/>
  <c r="O3" i="5"/>
  <c r="N4" i="5"/>
  <c r="N5" i="5"/>
  <c r="J5" i="5"/>
  <c r="J4" i="5"/>
  <c r="J3" i="5"/>
  <c r="O16" i="4"/>
  <c r="O11" i="4"/>
  <c r="Q20" i="4"/>
  <c r="Q21" i="4"/>
  <c r="Q19" i="4"/>
  <c r="P20" i="4"/>
  <c r="P21" i="4"/>
  <c r="P19" i="4"/>
  <c r="O20" i="4"/>
  <c r="O21" i="4"/>
  <c r="O19" i="4"/>
  <c r="N20" i="4"/>
  <c r="N19" i="4"/>
  <c r="Q15" i="4"/>
  <c r="Q16" i="4"/>
  <c r="Q14" i="4"/>
  <c r="P15" i="4"/>
  <c r="P16" i="4"/>
  <c r="P14" i="4"/>
  <c r="O15" i="4"/>
  <c r="O14" i="4"/>
  <c r="N15" i="4"/>
  <c r="N16" i="4"/>
  <c r="N14" i="4"/>
  <c r="Q10" i="4"/>
  <c r="Q11" i="4"/>
  <c r="Q9" i="4"/>
  <c r="P10" i="4"/>
  <c r="P11" i="4"/>
  <c r="P9" i="4"/>
  <c r="O10" i="4"/>
  <c r="O9" i="4"/>
  <c r="N10" i="4"/>
  <c r="N11" i="4"/>
  <c r="N9" i="4"/>
  <c r="Q5" i="4"/>
  <c r="Q6" i="4"/>
  <c r="Q4" i="4"/>
  <c r="P5" i="4"/>
  <c r="P6" i="4"/>
  <c r="P4" i="4"/>
  <c r="O5" i="4"/>
  <c r="O6" i="4"/>
  <c r="O4" i="4"/>
  <c r="N5" i="4"/>
  <c r="N6" i="4"/>
  <c r="J27" i="4"/>
  <c r="J26" i="4"/>
  <c r="J25" i="4"/>
  <c r="J24" i="4"/>
  <c r="J20" i="4"/>
  <c r="J19" i="4"/>
  <c r="J21" i="4" s="1"/>
  <c r="J15" i="4"/>
  <c r="J14" i="4"/>
  <c r="J16" i="4" s="1"/>
  <c r="J10" i="4"/>
  <c r="J9" i="4"/>
  <c r="J5" i="4"/>
  <c r="J6" i="4" s="1"/>
  <c r="J4" i="4"/>
  <c r="K9" i="3"/>
  <c r="K8" i="3"/>
  <c r="J9" i="3"/>
  <c r="J8" i="3"/>
  <c r="J5" i="3"/>
  <c r="J4" i="3"/>
  <c r="J3" i="3"/>
  <c r="J27" i="1"/>
  <c r="J14" i="1"/>
  <c r="J3" i="2"/>
  <c r="K34" i="1"/>
  <c r="J36" i="1"/>
  <c r="J35" i="1"/>
  <c r="J34" i="1"/>
  <c r="J22" i="1"/>
  <c r="J21" i="1"/>
  <c r="J9" i="1"/>
  <c r="J8" i="1"/>
  <c r="J3" i="1"/>
  <c r="J2" i="1"/>
  <c r="S8" i="19" l="1"/>
  <c r="V5" i="19"/>
  <c r="X5" i="19" s="1"/>
  <c r="V6" i="19"/>
  <c r="W6" i="19" s="1"/>
  <c r="X6" i="19"/>
  <c r="W7" i="19"/>
  <c r="V7" i="19"/>
  <c r="X7" i="19"/>
  <c r="T8" i="19"/>
  <c r="V4" i="19"/>
  <c r="X4" i="19"/>
  <c r="N36" i="8"/>
  <c r="O36" i="8"/>
  <c r="L37" i="8"/>
  <c r="N34" i="8"/>
  <c r="O34" i="8"/>
  <c r="J11" i="4"/>
  <c r="W5" i="19" l="1"/>
  <c r="V8" i="19"/>
  <c r="X8" i="19" s="1"/>
  <c r="W4" i="19"/>
  <c r="K23" i="1"/>
  <c r="K29" i="1"/>
  <c r="K10" i="1"/>
  <c r="K12" i="1"/>
  <c r="K13" i="1"/>
  <c r="J23" i="1"/>
  <c r="K24" i="1" s="1"/>
  <c r="J10" i="1"/>
  <c r="J28" i="1"/>
  <c r="J4" i="1"/>
  <c r="W8" i="19" l="1"/>
  <c r="K25" i="1"/>
  <c r="K35" i="1"/>
  <c r="K36" i="1" s="1"/>
  <c r="J12" i="1"/>
  <c r="J11" i="1"/>
  <c r="K11" i="1"/>
  <c r="J17" i="1"/>
  <c r="J13" i="1"/>
  <c r="K14" i="1"/>
  <c r="K26" i="1"/>
  <c r="J16" i="1"/>
  <c r="J15" i="1"/>
  <c r="J26" i="1"/>
  <c r="J30" i="1"/>
  <c r="J25" i="1"/>
  <c r="J29" i="1"/>
  <c r="J4" i="2" s="1"/>
  <c r="J24" i="1"/>
  <c r="J18" i="1"/>
  <c r="I41" i="9"/>
  <c r="K15" i="1" l="1"/>
  <c r="K16" i="1"/>
  <c r="Q8" i="7"/>
  <c r="Q7" i="7"/>
  <c r="W17" i="1"/>
  <c r="W16" i="1"/>
  <c r="V17" i="1"/>
  <c r="I10" i="1"/>
  <c r="V16" i="1"/>
  <c r="I11" i="4" l="1"/>
  <c r="I7" i="6"/>
  <c r="S8" i="20"/>
  <c r="S7" i="20"/>
  <c r="S6" i="20"/>
  <c r="S5" i="20"/>
  <c r="R8" i="20"/>
  <c r="R7" i="20"/>
  <c r="R6" i="20"/>
  <c r="R5" i="20"/>
  <c r="R7" i="19"/>
  <c r="R6" i="19"/>
  <c r="R5" i="19"/>
  <c r="R4" i="19"/>
  <c r="Q7" i="19"/>
  <c r="Q6" i="19"/>
  <c r="Q5" i="19"/>
  <c r="Q4" i="19"/>
  <c r="Q8" i="19" l="1"/>
  <c r="R9" i="20"/>
  <c r="T10" i="20" s="1"/>
  <c r="S9" i="20"/>
  <c r="U10" i="20" s="1"/>
  <c r="R8" i="19"/>
  <c r="T9" i="19" s="1"/>
  <c r="S10" i="20"/>
  <c r="S11" i="20" s="1"/>
  <c r="I42" i="9"/>
  <c r="I35" i="9"/>
  <c r="I26" i="9"/>
  <c r="I25" i="9"/>
  <c r="I24" i="9"/>
  <c r="I23" i="9"/>
  <c r="I8" i="9"/>
  <c r="I7" i="9"/>
  <c r="I6" i="9"/>
  <c r="I5" i="9"/>
  <c r="I4" i="9"/>
  <c r="S9" i="19" l="1"/>
  <c r="R10" i="19"/>
  <c r="V10" i="19" s="1"/>
  <c r="I9" i="8"/>
  <c r="I8" i="8"/>
  <c r="I7" i="8"/>
  <c r="I6" i="8"/>
  <c r="G53" i="7"/>
  <c r="I52" i="7"/>
  <c r="G52" i="7"/>
  <c r="E51" i="7"/>
  <c r="E55" i="7" s="1"/>
  <c r="E36" i="7"/>
  <c r="Q9" i="19" l="1"/>
  <c r="R9" i="19"/>
  <c r="E39" i="7"/>
  <c r="E41" i="7"/>
  <c r="H34" i="7"/>
  <c r="K34" i="7"/>
  <c r="H35" i="7"/>
  <c r="K35" i="7"/>
  <c r="N36" i="7"/>
  <c r="Q36" i="7"/>
  <c r="R53" i="7" s="1"/>
  <c r="T36" i="7"/>
  <c r="W36" i="7"/>
  <c r="Z36" i="7"/>
  <c r="AC36" i="7"/>
  <c r="H37" i="7"/>
  <c r="K37" i="7"/>
  <c r="H38" i="7"/>
  <c r="K38" i="7"/>
  <c r="N39" i="7"/>
  <c r="Q39" i="7"/>
  <c r="T39" i="7"/>
  <c r="T41" i="7" s="1"/>
  <c r="W39" i="7"/>
  <c r="W41" i="7" s="1"/>
  <c r="Z39" i="7"/>
  <c r="AC39" i="7"/>
  <c r="N41" i="7"/>
  <c r="Q41" i="7"/>
  <c r="Z41" i="7"/>
  <c r="N44" i="7"/>
  <c r="N52" i="7" s="1"/>
  <c r="Q44" i="7"/>
  <c r="Q52" i="7" s="1"/>
  <c r="T44" i="7"/>
  <c r="W44" i="7"/>
  <c r="W52" i="7" s="1"/>
  <c r="Z44" i="7"/>
  <c r="N45" i="7"/>
  <c r="Q45" i="7"/>
  <c r="T45" i="7"/>
  <c r="T53" i="7" s="1"/>
  <c r="W45" i="7"/>
  <c r="W51" i="7" s="1"/>
  <c r="Z45" i="7"/>
  <c r="K46" i="7"/>
  <c r="L53" i="7" s="1"/>
  <c r="AC46" i="7"/>
  <c r="AF46" i="7"/>
  <c r="AF56" i="7" s="1"/>
  <c r="AF55" i="7" s="1"/>
  <c r="AI46" i="7"/>
  <c r="N47" i="7"/>
  <c r="Q47" i="7"/>
  <c r="Q50" i="7" s="1"/>
  <c r="T47" i="7"/>
  <c r="T50" i="7" s="1"/>
  <c r="W47" i="7"/>
  <c r="Z47" i="7"/>
  <c r="N48" i="7"/>
  <c r="N51" i="7" s="1"/>
  <c r="Q48" i="7"/>
  <c r="T48" i="7"/>
  <c r="W48" i="7"/>
  <c r="Z48" i="7"/>
  <c r="Z51" i="7" s="1"/>
  <c r="K49" i="7"/>
  <c r="M52" i="7" s="1"/>
  <c r="AC49" i="7"/>
  <c r="AF49" i="7"/>
  <c r="AI49" i="7"/>
  <c r="H50" i="7"/>
  <c r="H54" i="7" s="1"/>
  <c r="K50" i="7"/>
  <c r="AC50" i="7"/>
  <c r="AF50" i="7"/>
  <c r="AI50" i="7"/>
  <c r="H51" i="7"/>
  <c r="K51" i="7"/>
  <c r="AC51" i="7"/>
  <c r="AF51" i="7"/>
  <c r="AI51" i="7"/>
  <c r="H52" i="7"/>
  <c r="J52" i="7"/>
  <c r="K52" i="7"/>
  <c r="L52" i="7"/>
  <c r="S52" i="7"/>
  <c r="T52" i="7"/>
  <c r="AC52" i="7"/>
  <c r="AF52" i="7"/>
  <c r="AG52" i="7" s="1"/>
  <c r="AH52" i="7" s="1"/>
  <c r="AI52" i="7"/>
  <c r="H53" i="7"/>
  <c r="I53" i="7"/>
  <c r="J53" i="7"/>
  <c r="K53" i="7"/>
  <c r="Q53" i="7"/>
  <c r="S53" i="7"/>
  <c r="AC53" i="7"/>
  <c r="AD53" i="7"/>
  <c r="AE53" i="7" s="1"/>
  <c r="AF53" i="7"/>
  <c r="AG53" i="7" s="1"/>
  <c r="AH53" i="7" s="1"/>
  <c r="AI53" i="7"/>
  <c r="H56" i="7"/>
  <c r="H55" i="7" s="1"/>
  <c r="AC56" i="7"/>
  <c r="AC55" i="7" s="1"/>
  <c r="I12" i="6"/>
  <c r="I11" i="6"/>
  <c r="I10" i="6"/>
  <c r="I9" i="6"/>
  <c r="I5" i="5"/>
  <c r="I4" i="5"/>
  <c r="I3" i="5"/>
  <c r="I27" i="4"/>
  <c r="I26" i="4"/>
  <c r="I25" i="4"/>
  <c r="I24" i="4"/>
  <c r="Q9" i="3"/>
  <c r="P9" i="3"/>
  <c r="I9" i="3"/>
  <c r="I8" i="3"/>
  <c r="I35" i="1"/>
  <c r="I36" i="1"/>
  <c r="I4" i="1"/>
  <c r="I34" i="1"/>
  <c r="K36" i="7" l="1"/>
  <c r="H39" i="7"/>
  <c r="M53" i="7"/>
  <c r="AD52" i="7"/>
  <c r="AE52" i="7" s="1"/>
  <c r="AC54" i="7"/>
  <c r="Z49" i="7"/>
  <c r="AB53" i="7" s="1"/>
  <c r="AI56" i="7"/>
  <c r="AI54" i="7" s="1"/>
  <c r="W46" i="7"/>
  <c r="W53" i="7"/>
  <c r="Q51" i="7"/>
  <c r="Z50" i="7"/>
  <c r="Z46" i="7"/>
  <c r="N50" i="7"/>
  <c r="N46" i="7"/>
  <c r="O52" i="7" s="1"/>
  <c r="N49" i="7"/>
  <c r="P53" i="7" s="1"/>
  <c r="W50" i="7"/>
  <c r="X52" i="7"/>
  <c r="T49" i="7"/>
  <c r="K39" i="7"/>
  <c r="K41" i="7" s="1"/>
  <c r="H36" i="7"/>
  <c r="H41" i="7" s="1"/>
  <c r="Q49" i="7"/>
  <c r="I6" i="4"/>
  <c r="I21" i="4"/>
  <c r="I16" i="4"/>
  <c r="AF54" i="7"/>
  <c r="V53" i="7"/>
  <c r="Z56" i="7"/>
  <c r="Z54" i="7" s="1"/>
  <c r="AA52" i="7"/>
  <c r="X53" i="7"/>
  <c r="AB52" i="7"/>
  <c r="V52" i="7"/>
  <c r="T51" i="7"/>
  <c r="Q46" i="7"/>
  <c r="Q56" i="7" s="1"/>
  <c r="Q54" i="7" s="1"/>
  <c r="K56" i="7"/>
  <c r="K54" i="7" s="1"/>
  <c r="W49" i="7"/>
  <c r="Y53" i="7" s="1"/>
  <c r="T46" i="7"/>
  <c r="AA53" i="7"/>
  <c r="N53" i="7"/>
  <c r="Y52" i="7"/>
  <c r="I23" i="1"/>
  <c r="P51" i="8"/>
  <c r="H35" i="9"/>
  <c r="H34" i="9"/>
  <c r="H33" i="9"/>
  <c r="H32" i="9"/>
  <c r="H31" i="9"/>
  <c r="AI55" i="7" l="1"/>
  <c r="N56" i="7"/>
  <c r="N54" i="7" s="1"/>
  <c r="O53" i="7"/>
  <c r="P52" i="7"/>
  <c r="I13" i="1"/>
  <c r="I12" i="1"/>
  <c r="R52" i="7"/>
  <c r="Q55" i="7"/>
  <c r="I26" i="1"/>
  <c r="Z55" i="7"/>
  <c r="W56" i="7"/>
  <c r="K55" i="7"/>
  <c r="N55" i="7"/>
  <c r="U53" i="7"/>
  <c r="T56" i="7"/>
  <c r="T54" i="7" s="1"/>
  <c r="U52" i="7"/>
  <c r="I14" i="1"/>
  <c r="I29" i="1"/>
  <c r="I4" i="2" s="1"/>
  <c r="I25" i="1"/>
  <c r="W54" i="7" l="1"/>
  <c r="W55" i="7"/>
  <c r="T55" i="7"/>
  <c r="I16" i="1"/>
  <c r="I3" i="2" s="1"/>
  <c r="H4" i="1" l="1"/>
  <c r="Q8" i="20" l="1"/>
  <c r="P8" i="20"/>
  <c r="Q7" i="20"/>
  <c r="P7" i="20"/>
  <c r="Q6" i="20"/>
  <c r="P6" i="20"/>
  <c r="Q5" i="20"/>
  <c r="P5" i="20"/>
  <c r="P7" i="19"/>
  <c r="O7" i="19"/>
  <c r="P6" i="19"/>
  <c r="O6" i="19"/>
  <c r="P5" i="19"/>
  <c r="O5" i="19"/>
  <c r="P4" i="19"/>
  <c r="P8" i="19" s="1"/>
  <c r="U12" i="19" s="1"/>
  <c r="O4" i="19"/>
  <c r="O8" i="19" s="1"/>
  <c r="T12" i="19" s="1"/>
  <c r="H8" i="9"/>
  <c r="H7" i="9"/>
  <c r="H6" i="9"/>
  <c r="H5" i="9"/>
  <c r="H4" i="9"/>
  <c r="H26" i="9"/>
  <c r="H25" i="9"/>
  <c r="H24" i="9"/>
  <c r="H23" i="9"/>
  <c r="J36" i="8"/>
  <c r="J35" i="8"/>
  <c r="J34" i="8"/>
  <c r="J33" i="8"/>
  <c r="H9" i="8"/>
  <c r="H8" i="8"/>
  <c r="H7" i="8"/>
  <c r="H6" i="8"/>
  <c r="H12" i="6"/>
  <c r="H11" i="6"/>
  <c r="H10" i="6"/>
  <c r="H9" i="6"/>
  <c r="H6" i="6"/>
  <c r="H5" i="6"/>
  <c r="H4" i="6"/>
  <c r="H3" i="6"/>
  <c r="H3" i="5"/>
  <c r="H5" i="5"/>
  <c r="H4" i="5"/>
  <c r="H20" i="4"/>
  <c r="H19" i="4"/>
  <c r="H15" i="4"/>
  <c r="H14" i="4"/>
  <c r="H10" i="4"/>
  <c r="H9" i="4"/>
  <c r="H5" i="4"/>
  <c r="H4" i="4"/>
  <c r="H22" i="1"/>
  <c r="H21" i="1"/>
  <c r="H9" i="1"/>
  <c r="H8" i="1"/>
  <c r="H27" i="9" l="1"/>
  <c r="H38" i="9"/>
  <c r="H21" i="4"/>
  <c r="H16" i="4"/>
  <c r="H11" i="4"/>
  <c r="H6" i="4"/>
  <c r="H9" i="3"/>
  <c r="H8" i="3"/>
  <c r="G5" i="3"/>
  <c r="H23" i="1"/>
  <c r="H10" i="1"/>
  <c r="H13" i="1" s="1"/>
  <c r="H26" i="4" l="1"/>
  <c r="H14" i="1"/>
  <c r="I15" i="1" s="1"/>
  <c r="I11" i="1"/>
  <c r="H26" i="1"/>
  <c r="I24" i="1"/>
  <c r="H27" i="4"/>
  <c r="H12" i="1"/>
  <c r="H42" i="9"/>
  <c r="H34" i="1"/>
  <c r="H24" i="4"/>
  <c r="H25" i="4"/>
  <c r="H41" i="9"/>
  <c r="H25" i="1"/>
  <c r="H35" i="1"/>
  <c r="H27" i="1"/>
  <c r="H29" i="1" s="1"/>
  <c r="H4" i="2" s="1"/>
  <c r="H16" i="1"/>
  <c r="H3" i="2" s="1"/>
  <c r="H36" i="1" l="1"/>
  <c r="O8" i="20"/>
  <c r="O7" i="20"/>
  <c r="O6" i="20"/>
  <c r="N8" i="20"/>
  <c r="N7" i="20"/>
  <c r="N6" i="20"/>
  <c r="O5" i="20"/>
  <c r="N5" i="20"/>
  <c r="N7" i="19" l="1"/>
  <c r="N6" i="19"/>
  <c r="N5" i="19"/>
  <c r="N4" i="19"/>
  <c r="M7" i="19"/>
  <c r="M6" i="19"/>
  <c r="M5" i="19"/>
  <c r="M4" i="19"/>
  <c r="G8" i="9"/>
  <c r="G7" i="9"/>
  <c r="G6" i="9"/>
  <c r="G5" i="9"/>
  <c r="G4" i="9"/>
  <c r="G26" i="9"/>
  <c r="G25" i="9"/>
  <c r="G24" i="9"/>
  <c r="G23" i="9"/>
  <c r="G35" i="9"/>
  <c r="F27" i="9"/>
  <c r="G9" i="8"/>
  <c r="G8" i="8"/>
  <c r="G7" i="8"/>
  <c r="G6" i="8"/>
  <c r="I36" i="8"/>
  <c r="I35" i="8"/>
  <c r="I34" i="8"/>
  <c r="I33" i="8"/>
  <c r="M6" i="7"/>
  <c r="L6" i="7"/>
  <c r="G27" i="9" l="1"/>
  <c r="G12" i="6"/>
  <c r="G11" i="6"/>
  <c r="G10" i="6"/>
  <c r="G9" i="6"/>
  <c r="G6" i="6"/>
  <c r="G5" i="6"/>
  <c r="G4" i="6"/>
  <c r="G3" i="6"/>
  <c r="G5" i="5"/>
  <c r="G4" i="5"/>
  <c r="G3" i="5"/>
  <c r="G27" i="4"/>
  <c r="G26" i="4"/>
  <c r="G25" i="4"/>
  <c r="G24" i="4"/>
  <c r="F22" i="4"/>
  <c r="G20" i="4"/>
  <c r="G19" i="4"/>
  <c r="G15" i="4"/>
  <c r="G14" i="4"/>
  <c r="G10" i="4"/>
  <c r="G9" i="4"/>
  <c r="G5" i="4"/>
  <c r="G4" i="4"/>
  <c r="G9" i="3"/>
  <c r="G8" i="3"/>
  <c r="G22" i="1"/>
  <c r="G21" i="1"/>
  <c r="G9" i="1"/>
  <c r="G8" i="1"/>
  <c r="G3" i="1"/>
  <c r="G4" i="1" s="1"/>
  <c r="G2" i="1"/>
  <c r="G38" i="9" l="1"/>
  <c r="G42" i="9" s="1"/>
  <c r="G11" i="4"/>
  <c r="G21" i="4"/>
  <c r="G6" i="4"/>
  <c r="G16" i="4"/>
  <c r="H22" i="4"/>
  <c r="G41" i="9" l="1"/>
  <c r="G22" i="4"/>
  <c r="F8" i="9"/>
  <c r="F7" i="9"/>
  <c r="F6" i="9"/>
  <c r="F5" i="9"/>
  <c r="F4" i="9"/>
  <c r="E8" i="9"/>
  <c r="E7" i="9"/>
  <c r="E6" i="9"/>
  <c r="E5" i="9"/>
  <c r="E4" i="9"/>
  <c r="D8" i="9"/>
  <c r="D7" i="9"/>
  <c r="D6" i="9"/>
  <c r="D5" i="9"/>
  <c r="D4" i="9"/>
  <c r="C8" i="9"/>
  <c r="C7" i="9"/>
  <c r="C6" i="9"/>
  <c r="C5" i="9"/>
  <c r="C4" i="9"/>
  <c r="B8" i="9"/>
  <c r="B7" i="9"/>
  <c r="B6" i="9"/>
  <c r="B5" i="9"/>
  <c r="B4" i="9"/>
  <c r="F9" i="8"/>
  <c r="F8" i="8"/>
  <c r="F7" i="8"/>
  <c r="F6" i="8"/>
  <c r="E9" i="8"/>
  <c r="E8" i="8"/>
  <c r="E7" i="8"/>
  <c r="E6" i="8"/>
  <c r="D9" i="8"/>
  <c r="D8" i="8"/>
  <c r="D7" i="8"/>
  <c r="D6" i="8"/>
  <c r="C9" i="8"/>
  <c r="C8" i="8"/>
  <c r="C7" i="8"/>
  <c r="C6" i="8"/>
  <c r="B9" i="8"/>
  <c r="B8" i="8"/>
  <c r="B7" i="8"/>
  <c r="B6" i="8"/>
  <c r="F36" i="1" l="1"/>
  <c r="F35" i="1"/>
  <c r="F34" i="1"/>
  <c r="E36" i="1"/>
  <c r="E35" i="1"/>
  <c r="E34" i="1"/>
  <c r="D36" i="1"/>
  <c r="D35" i="1"/>
  <c r="D34" i="1"/>
  <c r="C36" i="1"/>
  <c r="C35" i="1"/>
  <c r="C34" i="1"/>
  <c r="B35" i="1"/>
  <c r="B34" i="1"/>
  <c r="F5" i="5" l="1"/>
  <c r="F4" i="5"/>
  <c r="F3" i="5"/>
  <c r="E5" i="5"/>
  <c r="E4" i="5"/>
  <c r="E3" i="5"/>
  <c r="D5" i="5"/>
  <c r="D4" i="5"/>
  <c r="D3" i="5"/>
  <c r="C5" i="5"/>
  <c r="C4" i="5"/>
  <c r="C3" i="5"/>
  <c r="B5" i="5"/>
  <c r="B4" i="5"/>
  <c r="B3" i="5"/>
  <c r="F27" i="4"/>
  <c r="F26" i="4"/>
  <c r="F25" i="4"/>
  <c r="F24" i="4"/>
  <c r="E27" i="4"/>
  <c r="E26" i="4"/>
  <c r="E25" i="4"/>
  <c r="E24" i="4"/>
  <c r="D27" i="4"/>
  <c r="D26" i="4"/>
  <c r="D25" i="4"/>
  <c r="D24" i="4"/>
  <c r="C27" i="4"/>
  <c r="C26" i="4"/>
  <c r="C25" i="4"/>
  <c r="C24" i="4"/>
  <c r="B27" i="4"/>
  <c r="B26" i="4"/>
  <c r="B25" i="4"/>
  <c r="B24" i="4"/>
  <c r="G6" i="7"/>
  <c r="H6" i="7"/>
  <c r="I6" i="7"/>
  <c r="K6" i="7"/>
  <c r="J6" i="7"/>
  <c r="K39" i="8" l="1"/>
  <c r="J39" i="8"/>
  <c r="D39" i="8"/>
  <c r="E39" i="8"/>
  <c r="F39" i="8"/>
  <c r="G39" i="8"/>
  <c r="J42" i="8" s="1"/>
  <c r="H39" i="8"/>
  <c r="K42" i="8" s="1"/>
  <c r="B38" i="9"/>
  <c r="C35" i="9"/>
  <c r="D35" i="9"/>
  <c r="E35" i="9"/>
  <c r="F35" i="9"/>
  <c r="F38" i="9" s="1"/>
  <c r="B35" i="9"/>
  <c r="C27" i="9"/>
  <c r="D27" i="9"/>
  <c r="E27" i="9"/>
  <c r="B27" i="9"/>
  <c r="F41" i="9" l="1"/>
  <c r="F6" i="6" l="1"/>
  <c r="F5" i="6"/>
  <c r="F4" i="6"/>
  <c r="F3" i="6"/>
  <c r="E6" i="6"/>
  <c r="E5" i="6"/>
  <c r="E4" i="6"/>
  <c r="E3" i="6"/>
  <c r="D11" i="6"/>
  <c r="D6" i="6"/>
  <c r="D12" i="6" s="1"/>
  <c r="D5" i="6"/>
  <c r="D4" i="6"/>
  <c r="D10" i="6" s="1"/>
  <c r="D3" i="6"/>
  <c r="D9" i="6" s="1"/>
  <c r="D13" i="6" s="1"/>
  <c r="C6" i="6"/>
  <c r="C5" i="6"/>
  <c r="C4" i="6"/>
  <c r="C3" i="6"/>
  <c r="B6" i="6"/>
  <c r="B5" i="6"/>
  <c r="B4" i="6"/>
  <c r="B3" i="6"/>
  <c r="E9" i="6" l="1"/>
  <c r="E10" i="6"/>
  <c r="E11" i="6"/>
  <c r="E12" i="6"/>
  <c r="F11" i="6"/>
  <c r="F12" i="6"/>
  <c r="F9" i="6"/>
  <c r="F10" i="6"/>
  <c r="F21" i="4"/>
  <c r="F16" i="4"/>
  <c r="F11" i="4"/>
  <c r="F6" i="4"/>
  <c r="E20" i="4"/>
  <c r="E19" i="4"/>
  <c r="E21" i="4" s="1"/>
  <c r="E15" i="4"/>
  <c r="E14" i="4"/>
  <c r="E10" i="4"/>
  <c r="E9" i="4"/>
  <c r="E5" i="4"/>
  <c r="E4" i="4"/>
  <c r="E16" i="4" l="1"/>
  <c r="E6" i="4"/>
  <c r="E11" i="4"/>
  <c r="D4" i="4"/>
  <c r="E22" i="4" l="1"/>
  <c r="D20" i="4"/>
  <c r="D19" i="4"/>
  <c r="D15" i="4"/>
  <c r="D14" i="4"/>
  <c r="D10" i="4"/>
  <c r="D9" i="4"/>
  <c r="D5" i="4"/>
  <c r="D6" i="4" s="1"/>
  <c r="C4" i="4"/>
  <c r="C20" i="4"/>
  <c r="C19" i="4"/>
  <c r="C15" i="4"/>
  <c r="C14" i="4"/>
  <c r="C10" i="4"/>
  <c r="C9" i="4"/>
  <c r="C5" i="4"/>
  <c r="B20" i="4"/>
  <c r="B19" i="4"/>
  <c r="B21" i="4" s="1"/>
  <c r="B15" i="4"/>
  <c r="B14" i="4"/>
  <c r="B10" i="4"/>
  <c r="B9" i="4"/>
  <c r="B5" i="4"/>
  <c r="B4" i="4"/>
  <c r="C11" i="4" l="1"/>
  <c r="C21" i="4"/>
  <c r="C16" i="4"/>
  <c r="C6" i="4"/>
  <c r="C22" i="4" s="1"/>
  <c r="D16" i="4"/>
  <c r="D11" i="4"/>
  <c r="D21" i="4"/>
  <c r="B16" i="4"/>
  <c r="B11" i="4"/>
  <c r="B6" i="4"/>
  <c r="F22" i="1"/>
  <c r="F21" i="1"/>
  <c r="F9" i="1"/>
  <c r="F8" i="1"/>
  <c r="E22" i="1"/>
  <c r="E21" i="1"/>
  <c r="E9" i="1"/>
  <c r="E8" i="1"/>
  <c r="D22" i="1"/>
  <c r="D21" i="1"/>
  <c r="D9" i="1"/>
  <c r="D4" i="3" s="1"/>
  <c r="D8" i="1"/>
  <c r="C22" i="1"/>
  <c r="C21" i="1"/>
  <c r="C9" i="1"/>
  <c r="C8" i="1"/>
  <c r="C4" i="1"/>
  <c r="D4" i="1"/>
  <c r="E4" i="1"/>
  <c r="F4" i="1"/>
  <c r="B4" i="1"/>
  <c r="G23" i="1"/>
  <c r="B22" i="1"/>
  <c r="B21" i="1"/>
  <c r="G10" i="1"/>
  <c r="B9" i="1"/>
  <c r="B4" i="3" s="1"/>
  <c r="B8" i="1"/>
  <c r="H24" i="1" l="1"/>
  <c r="K30" i="1"/>
  <c r="L10" i="1"/>
  <c r="K17" i="1"/>
  <c r="H11" i="1"/>
  <c r="G12" i="1"/>
  <c r="G13" i="1"/>
  <c r="E4" i="3"/>
  <c r="D22" i="4"/>
  <c r="G34" i="1"/>
  <c r="C3" i="3"/>
  <c r="D3" i="3"/>
  <c r="E3" i="3"/>
  <c r="B3" i="3"/>
  <c r="B5" i="3" s="1"/>
  <c r="C4" i="3"/>
  <c r="G35" i="1"/>
  <c r="G14" i="1"/>
  <c r="F23" i="1"/>
  <c r="G24" i="1" s="1"/>
  <c r="B22" i="4"/>
  <c r="E23" i="1"/>
  <c r="D23" i="1"/>
  <c r="H30" i="1" s="1"/>
  <c r="F25" i="1"/>
  <c r="F3" i="3"/>
  <c r="F4" i="3"/>
  <c r="F10" i="1"/>
  <c r="F12" i="1" s="1"/>
  <c r="D10" i="1"/>
  <c r="B23" i="1"/>
  <c r="B26" i="1" s="1"/>
  <c r="E10" i="1"/>
  <c r="G27" i="1"/>
  <c r="K28" i="1" s="1"/>
  <c r="B10" i="1"/>
  <c r="B12" i="1" s="1"/>
  <c r="G26" i="1"/>
  <c r="G25" i="1"/>
  <c r="C23" i="1"/>
  <c r="C10" i="1"/>
  <c r="C12" i="1" s="1"/>
  <c r="AB56" i="9"/>
  <c r="AA56" i="9"/>
  <c r="AB45" i="9"/>
  <c r="AA45" i="9"/>
  <c r="AA50" i="9"/>
  <c r="AA51" i="9"/>
  <c r="AA52" i="9"/>
  <c r="AA49" i="9"/>
  <c r="Y50" i="9"/>
  <c r="Y51" i="9"/>
  <c r="Y52" i="9"/>
  <c r="Y49" i="9"/>
  <c r="H15" i="1" l="1"/>
  <c r="K18" i="1"/>
  <c r="E12" i="1"/>
  <c r="I17" i="1"/>
  <c r="E25" i="1"/>
  <c r="I30" i="1"/>
  <c r="E5" i="3"/>
  <c r="F26" i="1"/>
  <c r="D5" i="3"/>
  <c r="G30" i="1"/>
  <c r="D12" i="1"/>
  <c r="H17" i="1"/>
  <c r="C5" i="3"/>
  <c r="G36" i="1"/>
  <c r="G29" i="1"/>
  <c r="G4" i="2" s="1"/>
  <c r="F24" i="1"/>
  <c r="E24" i="1"/>
  <c r="G16" i="1"/>
  <c r="G3" i="2" s="1"/>
  <c r="G17" i="1"/>
  <c r="E26" i="1"/>
  <c r="F30" i="1"/>
  <c r="G11" i="1"/>
  <c r="F5" i="3"/>
  <c r="B25" i="1"/>
  <c r="D24" i="1"/>
  <c r="C11" i="1"/>
  <c r="E13" i="1"/>
  <c r="E11" i="1"/>
  <c r="E14" i="1"/>
  <c r="I18" i="1" s="1"/>
  <c r="F17" i="1"/>
  <c r="F11" i="1"/>
  <c r="F27" i="1"/>
  <c r="F14" i="1"/>
  <c r="G15" i="1" s="1"/>
  <c r="F13" i="1"/>
  <c r="B27" i="1"/>
  <c r="B29" i="1" s="1"/>
  <c r="B4" i="2" s="1"/>
  <c r="B13" i="1"/>
  <c r="D14" i="1"/>
  <c r="D11" i="1"/>
  <c r="D13" i="1"/>
  <c r="E27" i="1"/>
  <c r="D27" i="1"/>
  <c r="D26" i="1"/>
  <c r="D25" i="1"/>
  <c r="C25" i="1"/>
  <c r="C24" i="1"/>
  <c r="B14" i="1"/>
  <c r="B16" i="1" s="1"/>
  <c r="B3" i="2" s="1"/>
  <c r="C14" i="1"/>
  <c r="G18" i="1" s="1"/>
  <c r="C26" i="1"/>
  <c r="C13" i="1"/>
  <c r="C27" i="1"/>
  <c r="G28" i="1" s="1"/>
  <c r="E29" i="1" l="1"/>
  <c r="E4" i="2" s="1"/>
  <c r="I28" i="1"/>
  <c r="D29" i="1"/>
  <c r="D4" i="2" s="1"/>
  <c r="H28" i="1"/>
  <c r="D16" i="1"/>
  <c r="D3" i="2" s="1"/>
  <c r="H18" i="1"/>
  <c r="F28" i="1"/>
  <c r="F15" i="1"/>
  <c r="D15" i="1"/>
  <c r="F18" i="1"/>
  <c r="F16" i="1"/>
  <c r="F3" i="2" s="1"/>
  <c r="F29" i="1"/>
  <c r="F4" i="2" s="1"/>
  <c r="E16" i="1"/>
  <c r="E3" i="2" s="1"/>
  <c r="E15" i="1"/>
  <c r="C29" i="1"/>
  <c r="C4" i="2" s="1"/>
  <c r="C16" i="1"/>
  <c r="C3" i="2" s="1"/>
  <c r="C15" i="1"/>
  <c r="AA53" i="9"/>
  <c r="Y53" i="9"/>
  <c r="AB44" i="9" l="1"/>
  <c r="AB43" i="9"/>
  <c r="AB42" i="9"/>
  <c r="AB41" i="9"/>
  <c r="AA44" i="9"/>
  <c r="AA43" i="9"/>
  <c r="AA42" i="9"/>
  <c r="AA41" i="9"/>
  <c r="Y42" i="9"/>
  <c r="Y43" i="9"/>
  <c r="Y44" i="9"/>
  <c r="Y41" i="9"/>
  <c r="Y45" i="9" l="1"/>
  <c r="Y56" i="9" l="1"/>
  <c r="N24" i="11" l="1"/>
  <c r="N25" i="11"/>
  <c r="O25" i="11" s="1"/>
  <c r="O15" i="11"/>
  <c r="O16" i="11"/>
  <c r="O17" i="11"/>
  <c r="O18" i="11"/>
  <c r="O19" i="11"/>
  <c r="O20" i="11"/>
  <c r="O21" i="11"/>
  <c r="O22" i="11"/>
  <c r="O14" i="11"/>
  <c r="N15" i="11"/>
  <c r="N16" i="11"/>
  <c r="N17" i="11"/>
  <c r="N18" i="11"/>
  <c r="N19" i="11"/>
  <c r="N20" i="11"/>
  <c r="N21" i="11"/>
  <c r="N22" i="11"/>
  <c r="N14" i="11"/>
  <c r="O3" i="11"/>
  <c r="O4" i="11"/>
  <c r="O5" i="11"/>
  <c r="O6" i="11"/>
  <c r="O7" i="11"/>
  <c r="O8" i="11"/>
  <c r="O9" i="11"/>
  <c r="O10" i="11"/>
  <c r="O2" i="11"/>
  <c r="N3" i="11"/>
  <c r="N4" i="11"/>
  <c r="N5" i="11"/>
  <c r="N6" i="11"/>
  <c r="N7" i="11"/>
  <c r="N8" i="11"/>
  <c r="N9" i="11"/>
  <c r="N10" i="11"/>
  <c r="N2" i="11"/>
  <c r="M21" i="11"/>
  <c r="M20" i="11"/>
  <c r="M19" i="11"/>
  <c r="M18" i="11"/>
  <c r="M17" i="11"/>
  <c r="M16" i="11"/>
  <c r="M15" i="11"/>
  <c r="M14" i="11"/>
  <c r="M9" i="11"/>
  <c r="M8" i="11"/>
  <c r="M7" i="11"/>
  <c r="M6" i="11"/>
  <c r="M5" i="11"/>
  <c r="M4" i="11"/>
  <c r="M3" i="11"/>
  <c r="M2" i="11"/>
  <c r="L15" i="11"/>
  <c r="L16" i="11"/>
  <c r="L17" i="11"/>
  <c r="L18" i="11"/>
  <c r="L19" i="11"/>
  <c r="L20" i="11"/>
  <c r="L21" i="11"/>
  <c r="L22" i="11"/>
  <c r="L14" i="11"/>
  <c r="K15" i="11"/>
  <c r="K16" i="11"/>
  <c r="K17" i="11"/>
  <c r="K18" i="11"/>
  <c r="K19" i="11"/>
  <c r="K20" i="11"/>
  <c r="K21" i="11"/>
  <c r="K22" i="11"/>
  <c r="K14" i="11"/>
  <c r="L3" i="11"/>
  <c r="L4" i="11"/>
  <c r="L5" i="11"/>
  <c r="L6" i="11"/>
  <c r="L7" i="11"/>
  <c r="L8" i="11"/>
  <c r="L9" i="11"/>
  <c r="L10" i="11"/>
  <c r="L2" i="11"/>
  <c r="K3" i="11"/>
  <c r="K4" i="11"/>
  <c r="K5" i="11"/>
  <c r="K6" i="11"/>
  <c r="K7" i="11"/>
  <c r="K8" i="11"/>
  <c r="K9" i="11"/>
  <c r="K10" i="11"/>
  <c r="K2" i="11"/>
  <c r="Y7" i="11" l="1"/>
  <c r="X9" i="11"/>
  <c r="X8" i="11"/>
  <c r="X7" i="11"/>
  <c r="X6" i="11"/>
  <c r="X5" i="11"/>
  <c r="X4" i="11"/>
  <c r="X3" i="11"/>
  <c r="X2" i="11"/>
  <c r="Z7" i="11"/>
  <c r="Z4" i="11"/>
  <c r="Z3" i="11" s="1"/>
  <c r="Y3" i="11" s="1"/>
  <c r="Y4" i="11" l="1"/>
  <c r="AG43" i="18"/>
  <c r="AG42" i="18"/>
  <c r="AG41" i="18"/>
  <c r="AG40" i="18"/>
  <c r="AG39" i="18"/>
  <c r="AG38" i="18"/>
  <c r="AG37" i="18"/>
  <c r="AG36" i="18"/>
  <c r="AG35" i="18"/>
  <c r="AG10" i="18"/>
  <c r="AG9" i="18"/>
  <c r="AG6" i="18"/>
  <c r="AG5" i="18"/>
  <c r="AG3" i="18"/>
  <c r="AF3" i="18"/>
  <c r="AE3" i="18"/>
  <c r="AD3" i="18"/>
  <c r="AC3" i="18"/>
  <c r="AB3" i="18"/>
  <c r="AA3" i="18"/>
  <c r="Z3" i="18"/>
  <c r="Y3" i="18"/>
  <c r="X3" i="18"/>
  <c r="AH43" i="13"/>
  <c r="AH42" i="13"/>
  <c r="AH41" i="13"/>
  <c r="AH40" i="13"/>
  <c r="AH39" i="13"/>
  <c r="AH38" i="13"/>
  <c r="AH37" i="13"/>
  <c r="AH36" i="13"/>
  <c r="AH11" i="13"/>
  <c r="AH10" i="13"/>
  <c r="AH9" i="13"/>
  <c r="AH6" i="13"/>
  <c r="AH5" i="13"/>
  <c r="AH35" i="13"/>
  <c r="AH3" i="13"/>
  <c r="AG3" i="13"/>
  <c r="AF3" i="13"/>
  <c r="AE3" i="13"/>
  <c r="AD3" i="13"/>
  <c r="AC3" i="13"/>
  <c r="AB3" i="13"/>
  <c r="AA3" i="13"/>
  <c r="Z3" i="13"/>
  <c r="Y3" i="13"/>
  <c r="L35" i="13"/>
  <c r="L36" i="13"/>
  <c r="P6" i="13"/>
  <c r="L6" i="13"/>
  <c r="P5" i="13"/>
  <c r="L5" i="13"/>
  <c r="L32" i="17"/>
  <c r="N31" i="17"/>
  <c r="L31" i="17"/>
  <c r="I31" i="17"/>
  <c r="N30" i="17"/>
  <c r="L30" i="17"/>
  <c r="I30" i="17"/>
  <c r="G30" i="17"/>
  <c r="N29" i="17"/>
  <c r="L29" i="17"/>
  <c r="I29" i="17"/>
  <c r="G29" i="17"/>
  <c r="N28" i="17"/>
  <c r="L28" i="17"/>
  <c r="I28" i="17"/>
  <c r="G28" i="17"/>
  <c r="N27" i="17"/>
  <c r="L27" i="17"/>
  <c r="I27" i="17"/>
  <c r="G27" i="17"/>
  <c r="N26" i="17"/>
  <c r="L26" i="17"/>
  <c r="I26" i="17"/>
  <c r="G26" i="17"/>
  <c r="N25" i="17"/>
  <c r="L25" i="17"/>
  <c r="I25" i="17"/>
  <c r="G25" i="17"/>
  <c r="N24" i="17"/>
  <c r="L24" i="17"/>
  <c r="I24" i="17"/>
  <c r="G24" i="17"/>
  <c r="N23" i="17"/>
  <c r="L23" i="17"/>
  <c r="I23" i="17"/>
  <c r="G23" i="17"/>
  <c r="N22" i="17"/>
  <c r="L22" i="17"/>
  <c r="I22" i="17"/>
  <c r="G22" i="17"/>
  <c r="N21" i="17"/>
  <c r="L21" i="17"/>
  <c r="I21" i="17"/>
  <c r="G21" i="17"/>
  <c r="N20" i="17"/>
  <c r="L20" i="17"/>
  <c r="I20" i="17"/>
  <c r="G20" i="17"/>
  <c r="N19" i="17"/>
  <c r="L19" i="17"/>
  <c r="I19" i="17"/>
  <c r="G19" i="17"/>
  <c r="N18" i="17"/>
  <c r="L18" i="17"/>
  <c r="I18" i="17"/>
  <c r="I32" i="17" s="1"/>
  <c r="G18" i="17"/>
  <c r="L13" i="17"/>
  <c r="I13" i="17"/>
  <c r="G13" i="17"/>
  <c r="L12" i="17"/>
  <c r="I12" i="17"/>
  <c r="G12" i="17"/>
  <c r="L11" i="17"/>
  <c r="I11" i="17"/>
  <c r="G11" i="17"/>
  <c r="L10" i="17"/>
  <c r="G10" i="17"/>
  <c r="L9" i="17"/>
  <c r="G9" i="17"/>
  <c r="L8" i="17"/>
  <c r="G8" i="17"/>
  <c r="L7" i="17"/>
  <c r="I7" i="17"/>
  <c r="G7" i="17"/>
  <c r="L6" i="17"/>
  <c r="I6" i="17"/>
  <c r="G6" i="17"/>
  <c r="M6" i="17" s="1"/>
  <c r="F117" i="16"/>
  <c r="F116" i="16"/>
  <c r="F115" i="16"/>
  <c r="R112" i="16"/>
  <c r="O112" i="16"/>
  <c r="L112" i="16"/>
  <c r="F111" i="16"/>
  <c r="F110" i="16"/>
  <c r="F109" i="16"/>
  <c r="R107" i="16"/>
  <c r="O107" i="16"/>
  <c r="L107" i="16"/>
  <c r="F105" i="16"/>
  <c r="F104" i="16"/>
  <c r="R103" i="16"/>
  <c r="O103" i="16"/>
  <c r="L103" i="16"/>
  <c r="F103" i="16"/>
  <c r="P70" i="16"/>
  <c r="T70" i="16" s="1"/>
  <c r="K70" i="16"/>
  <c r="C70" i="16"/>
  <c r="P69" i="16"/>
  <c r="K69" i="16"/>
  <c r="C69" i="16"/>
  <c r="P68" i="16"/>
  <c r="T68" i="16" s="1"/>
  <c r="K68" i="16"/>
  <c r="C68" i="16"/>
  <c r="AB66" i="16"/>
  <c r="AA66" i="16"/>
  <c r="T66" i="16"/>
  <c r="T69" i="16" s="1"/>
  <c r="N66" i="16"/>
  <c r="L66" i="16"/>
  <c r="M70" i="16" s="1"/>
  <c r="E66" i="16"/>
  <c r="D66" i="16"/>
  <c r="AC65" i="16"/>
  <c r="F65" i="16"/>
  <c r="AC64" i="16"/>
  <c r="AD64" i="16" s="1"/>
  <c r="R64" i="16"/>
  <c r="L64" i="16"/>
  <c r="F64" i="16"/>
  <c r="G64" i="16" s="1"/>
  <c r="AC63" i="16"/>
  <c r="F63" i="16"/>
  <c r="AC62" i="16"/>
  <c r="R62" i="16"/>
  <c r="L62" i="16"/>
  <c r="F62" i="16"/>
  <c r="G62" i="16" s="1"/>
  <c r="AC61" i="16"/>
  <c r="F61" i="16"/>
  <c r="AC60" i="16"/>
  <c r="AD60" i="16" s="1"/>
  <c r="R60" i="16"/>
  <c r="L60" i="16"/>
  <c r="F60" i="16"/>
  <c r="G60" i="16" s="1"/>
  <c r="AC59" i="16"/>
  <c r="F59" i="16"/>
  <c r="AC58" i="16"/>
  <c r="R58" i="16"/>
  <c r="L58" i="16"/>
  <c r="F58" i="16"/>
  <c r="G58" i="16" s="1"/>
  <c r="AC57" i="16"/>
  <c r="F57" i="16"/>
  <c r="AC56" i="16"/>
  <c r="AD56" i="16" s="1"/>
  <c r="R56" i="16"/>
  <c r="L56" i="16"/>
  <c r="F56" i="16"/>
  <c r="G56" i="16" s="1"/>
  <c r="AC55" i="16"/>
  <c r="F55" i="16"/>
  <c r="AC54" i="16"/>
  <c r="R54" i="16"/>
  <c r="L54" i="16"/>
  <c r="F54" i="16"/>
  <c r="G54" i="16" s="1"/>
  <c r="AC53" i="16"/>
  <c r="F53" i="16"/>
  <c r="AC52" i="16"/>
  <c r="AD52" i="16" s="1"/>
  <c r="R52" i="16"/>
  <c r="L52" i="16"/>
  <c r="F52" i="16"/>
  <c r="G52" i="16" s="1"/>
  <c r="AC51" i="16"/>
  <c r="F51" i="16"/>
  <c r="AC50" i="16"/>
  <c r="R50" i="16"/>
  <c r="L50" i="16"/>
  <c r="F50" i="16"/>
  <c r="G50" i="16" s="1"/>
  <c r="AC49" i="16"/>
  <c r="F49" i="16"/>
  <c r="AC48" i="16"/>
  <c r="AD48" i="16" s="1"/>
  <c r="R48" i="16"/>
  <c r="L48" i="16"/>
  <c r="F48" i="16"/>
  <c r="G48" i="16" s="1"/>
  <c r="AC47" i="16"/>
  <c r="F47" i="16"/>
  <c r="AC46" i="16"/>
  <c r="R46" i="16"/>
  <c r="L46" i="16"/>
  <c r="F46" i="16"/>
  <c r="G46" i="16" s="1"/>
  <c r="AC45" i="16"/>
  <c r="F45" i="16"/>
  <c r="AC44" i="16"/>
  <c r="AD44" i="16" s="1"/>
  <c r="R44" i="16"/>
  <c r="L44" i="16"/>
  <c r="F44" i="16"/>
  <c r="G44" i="16" s="1"/>
  <c r="AC43" i="16"/>
  <c r="F43" i="16"/>
  <c r="AC42" i="16"/>
  <c r="R42" i="16"/>
  <c r="L42" i="16"/>
  <c r="F42" i="16"/>
  <c r="G42" i="16" s="1"/>
  <c r="AC41" i="16"/>
  <c r="F41" i="16"/>
  <c r="AC40" i="16"/>
  <c r="AD40" i="16" s="1"/>
  <c r="R40" i="16"/>
  <c r="L40" i="16"/>
  <c r="F40" i="16"/>
  <c r="G40" i="16" s="1"/>
  <c r="AC39" i="16"/>
  <c r="F39" i="16"/>
  <c r="AC38" i="16"/>
  <c r="R38" i="16"/>
  <c r="L38" i="16"/>
  <c r="F38" i="16"/>
  <c r="G38" i="16" s="1"/>
  <c r="AC37" i="16"/>
  <c r="F37" i="16"/>
  <c r="AC36" i="16"/>
  <c r="AD36" i="16" s="1"/>
  <c r="R36" i="16"/>
  <c r="L36" i="16"/>
  <c r="F36" i="16"/>
  <c r="G36" i="16" s="1"/>
  <c r="AC35" i="16"/>
  <c r="F35" i="16"/>
  <c r="AC34" i="16"/>
  <c r="R34" i="16"/>
  <c r="L34" i="16"/>
  <c r="F34" i="16"/>
  <c r="G34" i="16" s="1"/>
  <c r="AC33" i="16"/>
  <c r="F33" i="16"/>
  <c r="AC32" i="16"/>
  <c r="AD32" i="16" s="1"/>
  <c r="R32" i="16"/>
  <c r="L32" i="16"/>
  <c r="F32" i="16"/>
  <c r="G32" i="16" s="1"/>
  <c r="AC31" i="16"/>
  <c r="F31" i="16"/>
  <c r="AC30" i="16"/>
  <c r="R30" i="16"/>
  <c r="L30" i="16"/>
  <c r="F30" i="16"/>
  <c r="G30" i="16" s="1"/>
  <c r="AC29" i="16"/>
  <c r="F29" i="16"/>
  <c r="AC28" i="16"/>
  <c r="AD28" i="16" s="1"/>
  <c r="R28" i="16"/>
  <c r="L28" i="16"/>
  <c r="F28" i="16"/>
  <c r="G28" i="16" s="1"/>
  <c r="AC27" i="16"/>
  <c r="F27" i="16"/>
  <c r="AC26" i="16"/>
  <c r="R26" i="16"/>
  <c r="L26" i="16"/>
  <c r="F26" i="16"/>
  <c r="G26" i="16" s="1"/>
  <c r="AC25" i="16"/>
  <c r="F25" i="16"/>
  <c r="AC24" i="16"/>
  <c r="AD24" i="16" s="1"/>
  <c r="R24" i="16"/>
  <c r="L24" i="16"/>
  <c r="F24" i="16"/>
  <c r="G24" i="16" s="1"/>
  <c r="AC23" i="16"/>
  <c r="F23" i="16"/>
  <c r="AC22" i="16"/>
  <c r="R22" i="16"/>
  <c r="L22" i="16"/>
  <c r="F22" i="16"/>
  <c r="G22" i="16" s="1"/>
  <c r="AC21" i="16"/>
  <c r="F21" i="16"/>
  <c r="AC20" i="16"/>
  <c r="AD20" i="16" s="1"/>
  <c r="R20" i="16"/>
  <c r="L20" i="16"/>
  <c r="F20" i="16"/>
  <c r="G20" i="16" s="1"/>
  <c r="AC19" i="16"/>
  <c r="F19" i="16"/>
  <c r="AC18" i="16"/>
  <c r="R18" i="16"/>
  <c r="L18" i="16"/>
  <c r="F18" i="16"/>
  <c r="G18" i="16" s="1"/>
  <c r="AC17" i="16"/>
  <c r="F17" i="16"/>
  <c r="AC16" i="16"/>
  <c r="AD16" i="16" s="1"/>
  <c r="R16" i="16"/>
  <c r="L16" i="16"/>
  <c r="F16" i="16"/>
  <c r="G16" i="16" s="1"/>
  <c r="AC15" i="16"/>
  <c r="F15" i="16"/>
  <c r="AC14" i="16"/>
  <c r="R14" i="16"/>
  <c r="L14" i="16"/>
  <c r="F14" i="16"/>
  <c r="G14" i="16" s="1"/>
  <c r="AC13" i="16"/>
  <c r="F13" i="16"/>
  <c r="AC12" i="16"/>
  <c r="AD12" i="16" s="1"/>
  <c r="R12" i="16"/>
  <c r="L12" i="16"/>
  <c r="F12" i="16"/>
  <c r="G12" i="16" s="1"/>
  <c r="AC11" i="16"/>
  <c r="F11" i="16"/>
  <c r="AC10" i="16"/>
  <c r="R10" i="16"/>
  <c r="L10" i="16"/>
  <c r="F10" i="16"/>
  <c r="G10" i="16" s="1"/>
  <c r="AC9" i="16"/>
  <c r="F9" i="16"/>
  <c r="AC8" i="16"/>
  <c r="AD8" i="16" s="1"/>
  <c r="R8" i="16"/>
  <c r="L8" i="16"/>
  <c r="F8" i="16"/>
  <c r="G8" i="16" s="1"/>
  <c r="AC7" i="16"/>
  <c r="F7" i="16"/>
  <c r="AC6" i="16"/>
  <c r="R6" i="16"/>
  <c r="L6" i="16"/>
  <c r="F6" i="16"/>
  <c r="G6" i="16" s="1"/>
  <c r="AC5" i="16"/>
  <c r="F5" i="16"/>
  <c r="AC4" i="16"/>
  <c r="AC66" i="16" s="1"/>
  <c r="R4" i="16"/>
  <c r="L4" i="16"/>
  <c r="F4" i="16"/>
  <c r="F66" i="16" s="1"/>
  <c r="F69" i="16" s="1"/>
  <c r="R170" i="15"/>
  <c r="J170" i="15"/>
  <c r="Y169" i="15"/>
  <c r="X169" i="15"/>
  <c r="W169" i="15"/>
  <c r="V169" i="15"/>
  <c r="V159" i="15" s="1"/>
  <c r="U169" i="15"/>
  <c r="U170" i="15" s="1"/>
  <c r="T169" i="15"/>
  <c r="S169" i="15"/>
  <c r="R169" i="15"/>
  <c r="R159" i="15" s="1"/>
  <c r="Q169" i="15"/>
  <c r="P169" i="15"/>
  <c r="P159" i="15" s="1"/>
  <c r="O169" i="15"/>
  <c r="N169" i="15"/>
  <c r="N159" i="15" s="1"/>
  <c r="M169" i="15"/>
  <c r="L169" i="15"/>
  <c r="K169" i="15"/>
  <c r="J169" i="15"/>
  <c r="J159" i="15" s="1"/>
  <c r="I169" i="15"/>
  <c r="H169" i="15"/>
  <c r="G169" i="15"/>
  <c r="F169" i="15"/>
  <c r="F159" i="15" s="1"/>
  <c r="E169" i="15"/>
  <c r="X164" i="15"/>
  <c r="V164" i="15"/>
  <c r="R164" i="15"/>
  <c r="N164" i="15"/>
  <c r="J164" i="15"/>
  <c r="F164" i="15"/>
  <c r="U159" i="15"/>
  <c r="V154" i="15"/>
  <c r="R154" i="15"/>
  <c r="N154" i="15"/>
  <c r="J154" i="15"/>
  <c r="F154" i="15"/>
  <c r="F112" i="15"/>
  <c r="E112" i="15"/>
  <c r="AX97" i="15"/>
  <c r="AT97" i="15"/>
  <c r="Y97" i="15"/>
  <c r="X97" i="15"/>
  <c r="W97" i="15"/>
  <c r="V97" i="15"/>
  <c r="U97" i="15"/>
  <c r="T97" i="15"/>
  <c r="S97" i="15"/>
  <c r="R97" i="15"/>
  <c r="Q97" i="15"/>
  <c r="P97" i="15"/>
  <c r="O97" i="15"/>
  <c r="N97" i="15"/>
  <c r="M97" i="15"/>
  <c r="L97" i="15"/>
  <c r="K97" i="15"/>
  <c r="J97" i="15"/>
  <c r="I97" i="15"/>
  <c r="H97" i="15"/>
  <c r="G97" i="15"/>
  <c r="F97" i="15"/>
  <c r="AX95" i="15"/>
  <c r="AW95" i="15"/>
  <c r="AV95" i="15"/>
  <c r="AU95" i="15"/>
  <c r="AT95" i="15"/>
  <c r="AS95" i="15"/>
  <c r="AR95" i="15"/>
  <c r="AD92" i="15"/>
  <c r="AX89" i="15"/>
  <c r="AW89" i="15"/>
  <c r="AV89" i="15"/>
  <c r="AV97" i="15" s="1"/>
  <c r="AU89" i="15"/>
  <c r="AU97" i="15" s="1"/>
  <c r="AT89" i="15"/>
  <c r="AS89" i="15"/>
  <c r="AR89" i="15"/>
  <c r="AR97" i="15" s="1"/>
  <c r="AQ89" i="15"/>
  <c r="AQ97" i="15" s="1"/>
  <c r="AP89" i="15"/>
  <c r="AP97" i="15" s="1"/>
  <c r="AO89" i="15"/>
  <c r="AN89" i="15"/>
  <c r="AN97" i="15" s="1"/>
  <c r="AM89" i="15"/>
  <c r="AM97" i="15" s="1"/>
  <c r="AL89" i="15"/>
  <c r="AL97" i="15" s="1"/>
  <c r="AK89" i="15"/>
  <c r="AJ89" i="15"/>
  <c r="AJ97" i="15" s="1"/>
  <c r="AI89" i="15"/>
  <c r="AI97" i="15" s="1"/>
  <c r="AH89" i="15"/>
  <c r="AH97" i="15" s="1"/>
  <c r="AG89" i="15"/>
  <c r="AF89" i="15"/>
  <c r="AF97" i="15" s="1"/>
  <c r="AE89" i="15"/>
  <c r="AE97" i="15" s="1"/>
  <c r="AD89" i="15"/>
  <c r="AD97" i="15" s="1"/>
  <c r="AX88" i="15"/>
  <c r="AX92" i="15" s="1"/>
  <c r="AW88" i="15"/>
  <c r="AV88" i="15"/>
  <c r="AU88" i="15"/>
  <c r="AU96" i="15" s="1"/>
  <c r="AT88" i="15"/>
  <c r="AT92" i="15" s="1"/>
  <c r="AS88" i="15"/>
  <c r="AR88" i="15"/>
  <c r="AQ88" i="15"/>
  <c r="AQ96" i="15" s="1"/>
  <c r="AP88" i="15"/>
  <c r="AO88" i="15"/>
  <c r="AN88" i="15"/>
  <c r="AM88" i="15"/>
  <c r="AM96" i="15" s="1"/>
  <c r="AL88" i="15"/>
  <c r="AK88" i="15"/>
  <c r="AJ88" i="15"/>
  <c r="AJ92" i="15" s="1"/>
  <c r="AI88" i="15"/>
  <c r="AI96" i="15" s="1"/>
  <c r="AH88" i="15"/>
  <c r="AG88" i="15"/>
  <c r="AF88" i="15"/>
  <c r="AE88" i="15"/>
  <c r="AE96" i="15" s="1"/>
  <c r="AD88" i="15"/>
  <c r="AN78" i="15"/>
  <c r="AM78" i="15"/>
  <c r="AI78" i="15"/>
  <c r="AE78" i="15"/>
  <c r="AD78" i="15"/>
  <c r="AR77" i="15"/>
  <c r="AO77" i="15"/>
  <c r="AJ77" i="15"/>
  <c r="AX76" i="15"/>
  <c r="AW76" i="15"/>
  <c r="AV76" i="15"/>
  <c r="AU76" i="15"/>
  <c r="AT76" i="15"/>
  <c r="AS76" i="15"/>
  <c r="AR76" i="15"/>
  <c r="AQ76" i="15"/>
  <c r="AP76" i="15"/>
  <c r="AO76" i="15"/>
  <c r="AN76" i="15"/>
  <c r="AM76" i="15"/>
  <c r="AL76" i="15"/>
  <c r="AK76" i="15"/>
  <c r="AJ76" i="15"/>
  <c r="AI76" i="15"/>
  <c r="AH76" i="15"/>
  <c r="AG76" i="15"/>
  <c r="AF76" i="15"/>
  <c r="AE76" i="15"/>
  <c r="AX73" i="15"/>
  <c r="AX80" i="15" s="1"/>
  <c r="AE73" i="15"/>
  <c r="AE74" i="15" s="1"/>
  <c r="AX70" i="15"/>
  <c r="AW70" i="15"/>
  <c r="AV70" i="15"/>
  <c r="AV78" i="15" s="1"/>
  <c r="AU70" i="15"/>
  <c r="AU78" i="15" s="1"/>
  <c r="AT70" i="15"/>
  <c r="AT78" i="15" s="1"/>
  <c r="AS70" i="15"/>
  <c r="AR70" i="15"/>
  <c r="AR78" i="15" s="1"/>
  <c r="AQ70" i="15"/>
  <c r="AQ78" i="15" s="1"/>
  <c r="AP70" i="15"/>
  <c r="AO70" i="15"/>
  <c r="AN70" i="15"/>
  <c r="AM70" i="15"/>
  <c r="AL70" i="15"/>
  <c r="AK70" i="15"/>
  <c r="AJ70" i="15"/>
  <c r="AJ78" i="15" s="1"/>
  <c r="AI70" i="15"/>
  <c r="AH70" i="15"/>
  <c r="AG70" i="15"/>
  <c r="AF70" i="15"/>
  <c r="AF78" i="15" s="1"/>
  <c r="AE70" i="15"/>
  <c r="AD70" i="15"/>
  <c r="AX69" i="15"/>
  <c r="AW69" i="15"/>
  <c r="AV69" i="15"/>
  <c r="AU69" i="15"/>
  <c r="AU77" i="15" s="1"/>
  <c r="AT69" i="15"/>
  <c r="AS69" i="15"/>
  <c r="AS77" i="15" s="1"/>
  <c r="AR69" i="15"/>
  <c r="AQ69" i="15"/>
  <c r="AP69" i="15"/>
  <c r="AO69" i="15"/>
  <c r="AN69" i="15"/>
  <c r="AN77" i="15" s="1"/>
  <c r="AM69" i="15"/>
  <c r="AM73" i="15" s="1"/>
  <c r="AL69" i="15"/>
  <c r="AK69" i="15"/>
  <c r="AK77" i="15" s="1"/>
  <c r="AJ69" i="15"/>
  <c r="AI69" i="15"/>
  <c r="AI77" i="15" s="1"/>
  <c r="AH69" i="15"/>
  <c r="AG69" i="15"/>
  <c r="AG77" i="15" s="1"/>
  <c r="AF69" i="15"/>
  <c r="AF77" i="15" s="1"/>
  <c r="AE69" i="15"/>
  <c r="AE77" i="15" s="1"/>
  <c r="AD69" i="15"/>
  <c r="P64" i="15"/>
  <c r="O64" i="15"/>
  <c r="N64" i="15"/>
  <c r="M64" i="15"/>
  <c r="L64" i="15"/>
  <c r="P63" i="15"/>
  <c r="O63" i="15"/>
  <c r="N63" i="15"/>
  <c r="M63" i="15"/>
  <c r="L63" i="15"/>
  <c r="AW62" i="15"/>
  <c r="AU62" i="15"/>
  <c r="AT62" i="15" s="1"/>
  <c r="AV62" i="15" s="1"/>
  <c r="AR62" i="15"/>
  <c r="AP62" i="15"/>
  <c r="AO62" i="15" s="1"/>
  <c r="AQ62" i="15" s="1"/>
  <c r="AW61" i="15"/>
  <c r="AV61" i="15"/>
  <c r="AT61" i="15"/>
  <c r="AR61" i="15"/>
  <c r="AO61" i="15"/>
  <c r="AQ61" i="15" s="1"/>
  <c r="AW60" i="15"/>
  <c r="AT60" i="15"/>
  <c r="AV60" i="15" s="1"/>
  <c r="AR60" i="15"/>
  <c r="AQ60" i="15"/>
  <c r="AO60" i="15"/>
  <c r="AU55" i="15"/>
  <c r="AP55" i="15"/>
  <c r="AW54" i="15"/>
  <c r="AV54" i="15"/>
  <c r="AT54" i="15"/>
  <c r="AR54" i="15"/>
  <c r="AO54" i="15"/>
  <c r="AQ54" i="15" s="1"/>
  <c r="AW53" i="15"/>
  <c r="AT53" i="15"/>
  <c r="AV53" i="15" s="1"/>
  <c r="AR53" i="15"/>
  <c r="AQ53" i="15"/>
  <c r="AO53" i="15"/>
  <c r="AU46" i="15"/>
  <c r="AR46" i="15"/>
  <c r="AQ46" i="15"/>
  <c r="AP46" i="15"/>
  <c r="AO46" i="15" s="1"/>
  <c r="AK46" i="15"/>
  <c r="AH46" i="15"/>
  <c r="AF46" i="15"/>
  <c r="AE46" i="15" s="1"/>
  <c r="AG46" i="15" s="1"/>
  <c r="AW45" i="15"/>
  <c r="AV45" i="15"/>
  <c r="AT45" i="15"/>
  <c r="AR45" i="15"/>
  <c r="AO45" i="15"/>
  <c r="AQ45" i="15" s="1"/>
  <c r="AM45" i="15"/>
  <c r="AJ45" i="15"/>
  <c r="AL45" i="15" s="1"/>
  <c r="AH45" i="15"/>
  <c r="AE45" i="15"/>
  <c r="AG45" i="15" s="1"/>
  <c r="AW44" i="15"/>
  <c r="AT44" i="15"/>
  <c r="AV44" i="15" s="1"/>
  <c r="AR44" i="15"/>
  <c r="AO44" i="15"/>
  <c r="AQ44" i="15" s="1"/>
  <c r="AM44" i="15"/>
  <c r="AJ44" i="15"/>
  <c r="AL44" i="15" s="1"/>
  <c r="AH44" i="15"/>
  <c r="AE44" i="15"/>
  <c r="AG44" i="15" s="1"/>
  <c r="AU39" i="15"/>
  <c r="AS39" i="15"/>
  <c r="AW39" i="15" s="1"/>
  <c r="AP39" i="15"/>
  <c r="AR39" i="15" s="1"/>
  <c r="AO39" i="15"/>
  <c r="AQ39" i="15" s="1"/>
  <c r="AM39" i="15"/>
  <c r="AK39" i="15"/>
  <c r="AJ39" i="15"/>
  <c r="AL39" i="15" s="1"/>
  <c r="AH39" i="15"/>
  <c r="AF39" i="15"/>
  <c r="AE39" i="15" s="1"/>
  <c r="AG39" i="15" s="1"/>
  <c r="AW38" i="15"/>
  <c r="AT38" i="15"/>
  <c r="AV38" i="15" s="1"/>
  <c r="AR38" i="15"/>
  <c r="AQ38" i="15"/>
  <c r="AO38" i="15"/>
  <c r="AM38" i="15"/>
  <c r="AJ38" i="15"/>
  <c r="AL38" i="15" s="1"/>
  <c r="AH38" i="15"/>
  <c r="AE38" i="15"/>
  <c r="AG38" i="15" s="1"/>
  <c r="AW37" i="15"/>
  <c r="AT37" i="15"/>
  <c r="AR37" i="15"/>
  <c r="AO37" i="15"/>
  <c r="AQ37" i="15" s="1"/>
  <c r="AM37" i="15"/>
  <c r="AJ37" i="15"/>
  <c r="AL37" i="15" s="1"/>
  <c r="AH37" i="15"/>
  <c r="AE37" i="15"/>
  <c r="AG37" i="15" s="1"/>
  <c r="H35" i="15"/>
  <c r="I34" i="15"/>
  <c r="I35" i="15" s="1"/>
  <c r="H34" i="15"/>
  <c r="G34" i="15"/>
  <c r="F34" i="15"/>
  <c r="E34" i="15"/>
  <c r="E35" i="15" s="1"/>
  <c r="I33" i="15"/>
  <c r="H33" i="15"/>
  <c r="G33" i="15"/>
  <c r="F33" i="15"/>
  <c r="E33" i="15"/>
  <c r="Q25" i="15"/>
  <c r="M25" i="15"/>
  <c r="U24" i="15"/>
  <c r="AP23" i="15"/>
  <c r="AO23" i="15"/>
  <c r="AN23" i="15"/>
  <c r="AM23" i="15"/>
  <c r="AL23" i="15"/>
  <c r="AK23" i="15"/>
  <c r="AJ23" i="15"/>
  <c r="AI23" i="15"/>
  <c r="AH23" i="15"/>
  <c r="AG23" i="15"/>
  <c r="AF23" i="15"/>
  <c r="M23" i="15"/>
  <c r="I23" i="15"/>
  <c r="E23" i="15"/>
  <c r="AU22" i="15"/>
  <c r="AP22" i="15"/>
  <c r="AO22" i="15"/>
  <c r="AN22" i="15"/>
  <c r="AM22" i="15"/>
  <c r="AL22" i="15"/>
  <c r="AK22" i="15"/>
  <c r="AJ22" i="15"/>
  <c r="AI22" i="15"/>
  <c r="AH22" i="15"/>
  <c r="AG22" i="15"/>
  <c r="AF22" i="15"/>
  <c r="M22" i="15"/>
  <c r="I22" i="15"/>
  <c r="E22" i="15"/>
  <c r="J21" i="15"/>
  <c r="T20" i="15"/>
  <c r="T22" i="15" s="1"/>
  <c r="S20" i="15"/>
  <c r="R20" i="15"/>
  <c r="Q20" i="15"/>
  <c r="Q22" i="15" s="1"/>
  <c r="P20" i="15"/>
  <c r="O20" i="15"/>
  <c r="O21" i="15" s="1"/>
  <c r="N20" i="15"/>
  <c r="M20" i="15"/>
  <c r="L20" i="15"/>
  <c r="AM12" i="15" s="1"/>
  <c r="K20" i="15"/>
  <c r="AH24" i="15" s="1"/>
  <c r="J20" i="15"/>
  <c r="I20" i="15"/>
  <c r="I25" i="15" s="1"/>
  <c r="H20" i="15"/>
  <c r="G20" i="15"/>
  <c r="F20" i="15"/>
  <c r="F23" i="15" s="1"/>
  <c r="E20" i="15"/>
  <c r="E25" i="15" s="1"/>
  <c r="AP19" i="15"/>
  <c r="AO19" i="15"/>
  <c r="AN19" i="15"/>
  <c r="AM19" i="15"/>
  <c r="AL19" i="15"/>
  <c r="AK19" i="15"/>
  <c r="AJ19" i="15"/>
  <c r="AI19" i="15"/>
  <c r="AH19" i="15"/>
  <c r="AG19" i="15"/>
  <c r="AF19" i="15"/>
  <c r="Z19" i="15"/>
  <c r="Y19" i="15"/>
  <c r="X19" i="15"/>
  <c r="AT23" i="15" s="1"/>
  <c r="W19" i="15"/>
  <c r="V19" i="15"/>
  <c r="AR11" i="15" s="1"/>
  <c r="U19" i="15"/>
  <c r="AQ11" i="15" s="1"/>
  <c r="AR18" i="15"/>
  <c r="AP18" i="15"/>
  <c r="AO18" i="15"/>
  <c r="AN18" i="15"/>
  <c r="AM18" i="15"/>
  <c r="AL18" i="15"/>
  <c r="AK18" i="15"/>
  <c r="AJ18" i="15"/>
  <c r="AI18" i="15"/>
  <c r="AH18" i="15"/>
  <c r="AG18" i="15"/>
  <c r="AF18" i="15"/>
  <c r="Z18" i="15"/>
  <c r="Y18" i="15"/>
  <c r="X18" i="15"/>
  <c r="W18" i="15"/>
  <c r="V18" i="15"/>
  <c r="AR10" i="15" s="1"/>
  <c r="U18" i="15"/>
  <c r="AQ22" i="15" s="1"/>
  <c r="AB14" i="15"/>
  <c r="Z14" i="15"/>
  <c r="AJ12" i="15"/>
  <c r="AS11" i="15"/>
  <c r="AP11" i="15"/>
  <c r="AO11" i="15"/>
  <c r="AN11" i="15"/>
  <c r="AM11" i="15"/>
  <c r="AL11" i="15"/>
  <c r="AK11" i="15"/>
  <c r="AJ11" i="15"/>
  <c r="AI11" i="15"/>
  <c r="AH11" i="15"/>
  <c r="AG11" i="15"/>
  <c r="AF11" i="15"/>
  <c r="AB11" i="15"/>
  <c r="AU10" i="15"/>
  <c r="AQ10" i="15"/>
  <c r="AP10" i="15"/>
  <c r="AO10" i="15"/>
  <c r="AN10" i="15"/>
  <c r="AM10" i="15"/>
  <c r="AL10" i="15"/>
  <c r="AK10" i="15"/>
  <c r="AJ10" i="15"/>
  <c r="AI10" i="15"/>
  <c r="AH10" i="15"/>
  <c r="AG10" i="15"/>
  <c r="AF10" i="15"/>
  <c r="AB10" i="15"/>
  <c r="X10" i="15"/>
  <c r="W10" i="15"/>
  <c r="V10" i="15"/>
  <c r="Z15" i="15" s="1"/>
  <c r="U10" i="15"/>
  <c r="I9" i="15"/>
  <c r="AF8" i="15"/>
  <c r="AP7" i="15"/>
  <c r="AO7" i="15"/>
  <c r="AN7" i="15"/>
  <c r="AM7" i="15"/>
  <c r="AL7" i="15"/>
  <c r="AK7" i="15"/>
  <c r="AJ7" i="15"/>
  <c r="AI7" i="15"/>
  <c r="AH7" i="15"/>
  <c r="AG7" i="15"/>
  <c r="AF7" i="15"/>
  <c r="AR6" i="15"/>
  <c r="AP6" i="15"/>
  <c r="AO6" i="15"/>
  <c r="AN6" i="15"/>
  <c r="AM6" i="15"/>
  <c r="AL6" i="15"/>
  <c r="AK6" i="15"/>
  <c r="AJ6" i="15"/>
  <c r="AI6" i="15"/>
  <c r="AH6" i="15"/>
  <c r="AG6" i="15"/>
  <c r="AF6" i="15"/>
  <c r="T6" i="15"/>
  <c r="S6" i="15"/>
  <c r="R6" i="15"/>
  <c r="Q6" i="15"/>
  <c r="Q11" i="15" s="1"/>
  <c r="P6" i="15"/>
  <c r="P8" i="15" s="1"/>
  <c r="O6" i="15"/>
  <c r="N6" i="15"/>
  <c r="M6" i="15"/>
  <c r="L6" i="15"/>
  <c r="K6" i="15"/>
  <c r="J6" i="15"/>
  <c r="AG20" i="15" s="1"/>
  <c r="I6" i="15"/>
  <c r="I8" i="15" s="1"/>
  <c r="H6" i="15"/>
  <c r="G6" i="15"/>
  <c r="F6" i="15"/>
  <c r="E6" i="15"/>
  <c r="E8" i="15" s="1"/>
  <c r="AB5" i="15"/>
  <c r="Z5" i="15"/>
  <c r="Z6" i="15" s="1"/>
  <c r="Y5" i="15"/>
  <c r="X5" i="15"/>
  <c r="AT19" i="15" s="1"/>
  <c r="W5" i="15"/>
  <c r="V5" i="15"/>
  <c r="AR19" i="15" s="1"/>
  <c r="U5" i="15"/>
  <c r="AQ19" i="15" s="1"/>
  <c r="Z4" i="15"/>
  <c r="Y4" i="15"/>
  <c r="X4" i="15"/>
  <c r="W4" i="15"/>
  <c r="V4" i="15"/>
  <c r="U4" i="15"/>
  <c r="U6" i="15" s="1"/>
  <c r="AQ8" i="15" s="1"/>
  <c r="AB3" i="15"/>
  <c r="BL774" i="14"/>
  <c r="BQ738" i="14" s="1"/>
  <c r="BK774" i="14"/>
  <c r="BL773" i="14"/>
  <c r="BK773" i="14"/>
  <c r="BL772" i="14"/>
  <c r="BK772" i="14"/>
  <c r="BJ764" i="14"/>
  <c r="BL764" i="14" s="1"/>
  <c r="BI764" i="14"/>
  <c r="BH764" i="14"/>
  <c r="BK764" i="14" s="1"/>
  <c r="BJ763" i="14"/>
  <c r="BI763" i="14"/>
  <c r="BI765" i="14" s="1"/>
  <c r="BH763" i="14"/>
  <c r="BK755" i="14"/>
  <c r="BJ755" i="14"/>
  <c r="BL755" i="14" s="1"/>
  <c r="BI755" i="14"/>
  <c r="BJ754" i="14"/>
  <c r="BI754" i="14"/>
  <c r="BH754" i="14"/>
  <c r="BH756" i="14" s="1"/>
  <c r="BJ747" i="14"/>
  <c r="BI747" i="14"/>
  <c r="BH746" i="14"/>
  <c r="BL746" i="14" s="1"/>
  <c r="BH745" i="14"/>
  <c r="BO738" i="14"/>
  <c r="BK738" i="14"/>
  <c r="BJ738" i="14"/>
  <c r="BL738" i="14" s="1"/>
  <c r="BI738" i="14"/>
  <c r="AY738" i="14"/>
  <c r="AX738" i="14"/>
  <c r="BB738" i="14" s="1"/>
  <c r="AW738" i="14"/>
  <c r="AS738" i="14"/>
  <c r="AU738" i="14" s="1"/>
  <c r="AR738" i="14"/>
  <c r="AT738" i="14" s="1"/>
  <c r="AN738" i="14"/>
  <c r="AP738" i="14" s="1"/>
  <c r="AM738" i="14"/>
  <c r="AO738" i="14" s="1"/>
  <c r="BL737" i="14"/>
  <c r="BK737" i="14"/>
  <c r="BB737" i="14"/>
  <c r="AY737" i="14"/>
  <c r="AU737" i="14"/>
  <c r="AT737" i="14"/>
  <c r="AP737" i="14"/>
  <c r="AO737" i="14"/>
  <c r="BL736" i="14"/>
  <c r="BK736" i="14"/>
  <c r="BB736" i="14"/>
  <c r="AY736" i="14"/>
  <c r="AU736" i="14"/>
  <c r="AT736" i="14"/>
  <c r="AP736" i="14"/>
  <c r="AO736" i="14"/>
  <c r="BK729" i="14"/>
  <c r="BJ729" i="14"/>
  <c r="BL729" i="14" s="1"/>
  <c r="BI729" i="14"/>
  <c r="AY729" i="14"/>
  <c r="AX729" i="14"/>
  <c r="BB729" i="14" s="1"/>
  <c r="AW729" i="14"/>
  <c r="AS729" i="14"/>
  <c r="AU729" i="14" s="1"/>
  <c r="AR729" i="14"/>
  <c r="AT729" i="14" s="1"/>
  <c r="AN729" i="14"/>
  <c r="AM729" i="14"/>
  <c r="AL729" i="14"/>
  <c r="BL728" i="14"/>
  <c r="BK728" i="14"/>
  <c r="BB728" i="14"/>
  <c r="AY728" i="14"/>
  <c r="AU728" i="14"/>
  <c r="AT728" i="14"/>
  <c r="AP728" i="14"/>
  <c r="AO728" i="14"/>
  <c r="BL727" i="14"/>
  <c r="BK727" i="14"/>
  <c r="BB727" i="14"/>
  <c r="AY727" i="14"/>
  <c r="AU727" i="14"/>
  <c r="AT727" i="14"/>
  <c r="AP727" i="14"/>
  <c r="AO727" i="14"/>
  <c r="AR716" i="14"/>
  <c r="AM716" i="14"/>
  <c r="AS715" i="14"/>
  <c r="AR715" i="14"/>
  <c r="AN715" i="14"/>
  <c r="AS714" i="14"/>
  <c r="AR714" i="14"/>
  <c r="AQ714" i="14" s="1"/>
  <c r="AU714" i="14" s="1"/>
  <c r="AN714" i="14"/>
  <c r="AL714" i="14"/>
  <c r="AP714" i="14" s="1"/>
  <c r="AS706" i="14"/>
  <c r="AR706" i="14"/>
  <c r="AQ706" i="14" s="1"/>
  <c r="AT706" i="14" s="1"/>
  <c r="AN706" i="14"/>
  <c r="AM706" i="14"/>
  <c r="AL706" i="14"/>
  <c r="AP706" i="14" s="1"/>
  <c r="AS705" i="14"/>
  <c r="AS707" i="14" s="1"/>
  <c r="AR705" i="14"/>
  <c r="AN705" i="14"/>
  <c r="AM705" i="14"/>
  <c r="BJ679" i="14"/>
  <c r="BH679" i="14"/>
  <c r="BI679" i="14" s="1"/>
  <c r="BK679" i="14" s="1"/>
  <c r="BJ678" i="14"/>
  <c r="BH678" i="14"/>
  <c r="BJ673" i="14"/>
  <c r="BH673" i="14"/>
  <c r="AX673" i="14"/>
  <c r="AV673" i="14"/>
  <c r="BL672" i="14"/>
  <c r="BK672" i="14"/>
  <c r="BI672" i="14"/>
  <c r="AW672" i="14"/>
  <c r="BL671" i="14"/>
  <c r="BI671" i="14"/>
  <c r="BK671" i="14" s="1"/>
  <c r="AW671" i="14"/>
  <c r="BJ664" i="14"/>
  <c r="AX664" i="14"/>
  <c r="AS664" i="14"/>
  <c r="AU664" i="14" s="1"/>
  <c r="AN664" i="14"/>
  <c r="AL664" i="14"/>
  <c r="BL663" i="14"/>
  <c r="BI663" i="14"/>
  <c r="BK663" i="14" s="1"/>
  <c r="BB663" i="14"/>
  <c r="AW663" i="14"/>
  <c r="AY663" i="14" s="1"/>
  <c r="AU663" i="14"/>
  <c r="AR663" i="14"/>
  <c r="AT663" i="14" s="1"/>
  <c r="AP663" i="14"/>
  <c r="AM663" i="14"/>
  <c r="AO663" i="14" s="1"/>
  <c r="BL662" i="14"/>
  <c r="BK662" i="14"/>
  <c r="BI662" i="14"/>
  <c r="BB662" i="14"/>
  <c r="AW662" i="14"/>
  <c r="AY662" i="14" s="1"/>
  <c r="AU662" i="14"/>
  <c r="AR662" i="14"/>
  <c r="AT662" i="14" s="1"/>
  <c r="AP662" i="14"/>
  <c r="AO662" i="14"/>
  <c r="AM662" i="14"/>
  <c r="CO657" i="14"/>
  <c r="CM657" i="14"/>
  <c r="CG657" i="14"/>
  <c r="BY657" i="14"/>
  <c r="BC657" i="14"/>
  <c r="BA657" i="14"/>
  <c r="BI657" i="14" s="1"/>
  <c r="AX657" i="14"/>
  <c r="AZ657" i="14" s="1"/>
  <c r="AW657" i="14"/>
  <c r="AV657" i="14"/>
  <c r="AV665" i="14" s="1"/>
  <c r="AS657" i="14"/>
  <c r="AQ657" i="14"/>
  <c r="AN657" i="14"/>
  <c r="AL657" i="14"/>
  <c r="AM657" i="14" s="1"/>
  <c r="AO657" i="14" s="1"/>
  <c r="CQ656" i="14"/>
  <c r="CP656" i="14"/>
  <c r="CN656" i="14"/>
  <c r="CK656" i="14"/>
  <c r="CF656" i="14"/>
  <c r="CH656" i="14" s="1"/>
  <c r="BI656" i="14"/>
  <c r="BB656" i="14"/>
  <c r="BH656" i="14" s="1"/>
  <c r="AZ656" i="14"/>
  <c r="AY656" i="14"/>
  <c r="AU656" i="14"/>
  <c r="AT656" i="14"/>
  <c r="AR656" i="14"/>
  <c r="AP656" i="14"/>
  <c r="AM656" i="14"/>
  <c r="AO656" i="14" s="1"/>
  <c r="CQ655" i="14"/>
  <c r="CN655" i="14"/>
  <c r="CP655" i="14" s="1"/>
  <c r="CK655" i="14"/>
  <c r="CH655" i="14"/>
  <c r="CF655" i="14"/>
  <c r="BI655" i="14"/>
  <c r="BB655" i="14"/>
  <c r="BH655" i="14" s="1"/>
  <c r="AZ655" i="14"/>
  <c r="AY655" i="14"/>
  <c r="AU655" i="14"/>
  <c r="AR655" i="14"/>
  <c r="AT655" i="14" s="1"/>
  <c r="AP655" i="14"/>
  <c r="AM655" i="14"/>
  <c r="AO655" i="14" s="1"/>
  <c r="AN647" i="14"/>
  <c r="AS646" i="14"/>
  <c r="AQ646" i="14"/>
  <c r="AN646" i="14"/>
  <c r="AM646" i="14"/>
  <c r="AO646" i="14" s="1"/>
  <c r="AL646" i="14"/>
  <c r="AS645" i="14"/>
  <c r="AU645" i="14" s="1"/>
  <c r="AQ645" i="14"/>
  <c r="AN645" i="14"/>
  <c r="AL645" i="14"/>
  <c r="AL647" i="14" s="1"/>
  <c r="AS639" i="14"/>
  <c r="AQ639" i="14"/>
  <c r="AP639" i="14"/>
  <c r="AN639" i="14"/>
  <c r="AL639" i="14"/>
  <c r="AM639" i="14" s="1"/>
  <c r="AO639" i="14" s="1"/>
  <c r="AS638" i="14"/>
  <c r="AR638" i="14"/>
  <c r="AQ638" i="14"/>
  <c r="AQ640" i="14" s="1"/>
  <c r="AN638" i="14"/>
  <c r="AL638" i="14"/>
  <c r="AL631" i="14"/>
  <c r="BG605" i="14"/>
  <c r="BG597" i="14"/>
  <c r="BF597" i="14"/>
  <c r="BE597" i="14"/>
  <c r="BE605" i="14" s="1"/>
  <c r="BD597" i="14"/>
  <c r="BC597" i="14"/>
  <c r="BC605" i="14" s="1"/>
  <c r="AX597" i="14"/>
  <c r="AX605" i="14" s="1"/>
  <c r="AW597" i="14"/>
  <c r="AV597" i="14"/>
  <c r="AV605" i="14" s="1"/>
  <c r="AU597" i="14"/>
  <c r="BG596" i="14"/>
  <c r="BG604" i="14" s="1"/>
  <c r="BF596" i="14"/>
  <c r="BF600" i="14" s="1"/>
  <c r="BE596" i="14"/>
  <c r="BE604" i="14" s="1"/>
  <c r="BD596" i="14"/>
  <c r="BD604" i="14" s="1"/>
  <c r="BC596" i="14"/>
  <c r="BC604" i="14" s="1"/>
  <c r="AX596" i="14"/>
  <c r="AW596" i="14"/>
  <c r="AV596" i="14"/>
  <c r="AV604" i="14" s="1"/>
  <c r="AU596" i="14"/>
  <c r="AU604" i="14" s="1"/>
  <c r="BD589" i="14"/>
  <c r="BG588" i="14"/>
  <c r="BD588" i="14"/>
  <c r="AY588" i="14"/>
  <c r="BC584" i="14"/>
  <c r="BG581" i="14"/>
  <c r="BF581" i="14"/>
  <c r="BF589" i="14" s="1"/>
  <c r="BE581" i="14"/>
  <c r="BD581" i="14"/>
  <c r="BC581" i="14"/>
  <c r="BC589" i="14" s="1"/>
  <c r="AZ581" i="14"/>
  <c r="AY581" i="14"/>
  <c r="AX581" i="14"/>
  <c r="AX589" i="14" s="1"/>
  <c r="AW581" i="14"/>
  <c r="AV581" i="14"/>
  <c r="AV589" i="14" s="1"/>
  <c r="AU581" i="14"/>
  <c r="BH580" i="14"/>
  <c r="BG580" i="14"/>
  <c r="BF580" i="14"/>
  <c r="BE580" i="14"/>
  <c r="BE588" i="14" s="1"/>
  <c r="BD580" i="14"/>
  <c r="BD584" i="14" s="1"/>
  <c r="BC580" i="14"/>
  <c r="BC588" i="14" s="1"/>
  <c r="AZ580" i="14"/>
  <c r="AY580" i="14"/>
  <c r="AX580" i="14"/>
  <c r="AW580" i="14"/>
  <c r="AV580" i="14"/>
  <c r="AU580" i="14"/>
  <c r="BF551" i="14"/>
  <c r="BF550" i="14"/>
  <c r="BD548" i="14"/>
  <c r="BC548" i="14"/>
  <c r="BD547" i="14"/>
  <c r="BC547" i="14"/>
  <c r="AS544" i="14"/>
  <c r="AO544" i="14"/>
  <c r="AN544" i="14"/>
  <c r="AW543" i="14"/>
  <c r="AV543" i="14"/>
  <c r="AO543" i="14"/>
  <c r="BF542" i="14"/>
  <c r="BE542" i="14"/>
  <c r="BD542" i="14"/>
  <c r="BC542" i="14"/>
  <c r="BB542" i="14"/>
  <c r="AZ542" i="14"/>
  <c r="AX542" i="14"/>
  <c r="AW542" i="14"/>
  <c r="AV542" i="14"/>
  <c r="AU542" i="14"/>
  <c r="BF541" i="14"/>
  <c r="BE541" i="14"/>
  <c r="BD541" i="14"/>
  <c r="BC541" i="14"/>
  <c r="BB541" i="14"/>
  <c r="AZ541" i="14"/>
  <c r="AX541" i="14"/>
  <c r="AW541" i="14"/>
  <c r="AV541" i="14"/>
  <c r="AU541" i="14"/>
  <c r="AV540" i="14"/>
  <c r="AU540" i="14"/>
  <c r="AR539" i="14"/>
  <c r="BF538" i="14"/>
  <c r="BE538" i="14"/>
  <c r="BD538" i="14"/>
  <c r="BD544" i="14" s="1"/>
  <c r="BC538" i="14"/>
  <c r="BC543" i="14" s="1"/>
  <c r="AZ538" i="14"/>
  <c r="AX538" i="14"/>
  <c r="AX543" i="14" s="1"/>
  <c r="AW538" i="14"/>
  <c r="AW544" i="14" s="1"/>
  <c r="AV538" i="14"/>
  <c r="AV544" i="14" s="1"/>
  <c r="AU538" i="14"/>
  <c r="AU543" i="14" s="1"/>
  <c r="AT538" i="14"/>
  <c r="AT543" i="14" s="1"/>
  <c r="AS538" i="14"/>
  <c r="AS543" i="14" s="1"/>
  <c r="AR538" i="14"/>
  <c r="AQ538" i="14"/>
  <c r="AP538" i="14"/>
  <c r="AP543" i="14" s="1"/>
  <c r="AO538" i="14"/>
  <c r="AN538" i="14"/>
  <c r="AN543" i="14" s="1"/>
  <c r="AM538" i="14"/>
  <c r="AL538" i="14"/>
  <c r="BB537" i="14"/>
  <c r="BA537" i="14"/>
  <c r="BA542" i="14" s="1"/>
  <c r="AY537" i="14"/>
  <c r="AY542" i="14" s="1"/>
  <c r="BB536" i="14"/>
  <c r="BB538" i="14" s="1"/>
  <c r="BA536" i="14"/>
  <c r="AY536" i="14"/>
  <c r="AY541" i="14" s="1"/>
  <c r="AQ531" i="14"/>
  <c r="AN531" i="14"/>
  <c r="AL531" i="14"/>
  <c r="BE529" i="14"/>
  <c r="BB529" i="14"/>
  <c r="BA529" i="14"/>
  <c r="AZ529" i="14"/>
  <c r="AY529" i="14"/>
  <c r="AM529" i="14"/>
  <c r="BE528" i="14"/>
  <c r="BB528" i="14"/>
  <c r="BA528" i="14"/>
  <c r="AZ528" i="14"/>
  <c r="AY528" i="14"/>
  <c r="BB527" i="14"/>
  <c r="BA527" i="14"/>
  <c r="AM527" i="14"/>
  <c r="AR526" i="14"/>
  <c r="AM526" i="14"/>
  <c r="AM528" i="14" s="1"/>
  <c r="BE525" i="14"/>
  <c r="BE527" i="14" s="1"/>
  <c r="BB525" i="14"/>
  <c r="BB531" i="14" s="1"/>
  <c r="BA525" i="14"/>
  <c r="BA531" i="14" s="1"/>
  <c r="AZ525" i="14"/>
  <c r="AY525" i="14"/>
  <c r="AT525" i="14"/>
  <c r="AS525" i="14"/>
  <c r="AR525" i="14"/>
  <c r="AQ525" i="14"/>
  <c r="AP525" i="14"/>
  <c r="AO525" i="14"/>
  <c r="AN525" i="14"/>
  <c r="AM525" i="14"/>
  <c r="AL525" i="14"/>
  <c r="BD524" i="14"/>
  <c r="BD529" i="14" s="1"/>
  <c r="BC524" i="14"/>
  <c r="BB524" i="14"/>
  <c r="BD523" i="14"/>
  <c r="BC523" i="14"/>
  <c r="BC528" i="14" s="1"/>
  <c r="BB523" i="14"/>
  <c r="BB530" i="14" s="1"/>
  <c r="AW514" i="14"/>
  <c r="AV514" i="14"/>
  <c r="AU514" i="14"/>
  <c r="BB513" i="14"/>
  <c r="BC512" i="14"/>
  <c r="AY512" i="14"/>
  <c r="AL508" i="14"/>
  <c r="BG505" i="14"/>
  <c r="BG513" i="14" s="1"/>
  <c r="BF505" i="14"/>
  <c r="BF513" i="14" s="1"/>
  <c r="BE505" i="14"/>
  <c r="BE513" i="14" s="1"/>
  <c r="BD505" i="14"/>
  <c r="BC505" i="14"/>
  <c r="BC513" i="14" s="1"/>
  <c r="BB505" i="14"/>
  <c r="BA505" i="14"/>
  <c r="BA513" i="14" s="1"/>
  <c r="AZ505" i="14"/>
  <c r="AY505" i="14"/>
  <c r="AY513" i="14" s="1"/>
  <c r="AX505" i="14"/>
  <c r="AX513" i="14" s="1"/>
  <c r="AW505" i="14"/>
  <c r="AV505" i="14"/>
  <c r="AV513" i="14" s="1"/>
  <c r="AU505" i="14"/>
  <c r="AU513" i="14" s="1"/>
  <c r="AT505" i="14"/>
  <c r="AS505" i="14"/>
  <c r="AR505" i="14"/>
  <c r="AQ505" i="14"/>
  <c r="AP505" i="14"/>
  <c r="AO505" i="14"/>
  <c r="AN505" i="14"/>
  <c r="AM505" i="14"/>
  <c r="AL505" i="14"/>
  <c r="BG504" i="14"/>
  <c r="BG512" i="14" s="1"/>
  <c r="BF504" i="14"/>
  <c r="BF512" i="14" s="1"/>
  <c r="BE504" i="14"/>
  <c r="BE512" i="14" s="1"/>
  <c r="BD504" i="14"/>
  <c r="BD512" i="14" s="1"/>
  <c r="BC504" i="14"/>
  <c r="BB504" i="14"/>
  <c r="BA504" i="14"/>
  <c r="AZ504" i="14"/>
  <c r="AY504" i="14"/>
  <c r="AX504" i="14"/>
  <c r="AX512" i="14" s="1"/>
  <c r="AW504" i="14"/>
  <c r="AV504" i="14"/>
  <c r="AV512" i="14" s="1"/>
  <c r="AU504" i="14"/>
  <c r="AU512" i="14" s="1"/>
  <c r="AT504" i="14"/>
  <c r="AS504" i="14"/>
  <c r="AR504" i="14"/>
  <c r="AQ504" i="14"/>
  <c r="AP504" i="14"/>
  <c r="AO504" i="14"/>
  <c r="AN504" i="14"/>
  <c r="AM504" i="14"/>
  <c r="AL504" i="14"/>
  <c r="AV497" i="14"/>
  <c r="AV494" i="14"/>
  <c r="BF493" i="14"/>
  <c r="AX493" i="14"/>
  <c r="AV489" i="14"/>
  <c r="AV490" i="14" s="1"/>
  <c r="AN489" i="14"/>
  <c r="AN487" i="14" s="1"/>
  <c r="BG486" i="14"/>
  <c r="BG494" i="14" s="1"/>
  <c r="BF486" i="14"/>
  <c r="BF494" i="14" s="1"/>
  <c r="BE486" i="14"/>
  <c r="BD486" i="14"/>
  <c r="BD494" i="14" s="1"/>
  <c r="BC486" i="14"/>
  <c r="BC494" i="14" s="1"/>
  <c r="BB486" i="14"/>
  <c r="BB494" i="14" s="1"/>
  <c r="BA486" i="14"/>
  <c r="BA494" i="14" s="1"/>
  <c r="AZ486" i="14"/>
  <c r="AZ494" i="14" s="1"/>
  <c r="AY486" i="14"/>
  <c r="AY494" i="14" s="1"/>
  <c r="AX486" i="14"/>
  <c r="AX494" i="14" s="1"/>
  <c r="AW486" i="14"/>
  <c r="AV486" i="14"/>
  <c r="AU486" i="14"/>
  <c r="AU494" i="14" s="1"/>
  <c r="AT486" i="14"/>
  <c r="AS486" i="14"/>
  <c r="AR486" i="14"/>
  <c r="AQ486" i="14"/>
  <c r="AP486" i="14"/>
  <c r="AO486" i="14"/>
  <c r="AN486" i="14"/>
  <c r="AM486" i="14"/>
  <c r="AL486" i="14"/>
  <c r="BG485" i="14"/>
  <c r="BF485" i="14"/>
  <c r="BE485" i="14"/>
  <c r="BE493" i="14" s="1"/>
  <c r="BD485" i="14"/>
  <c r="BD493" i="14" s="1"/>
  <c r="BC485" i="14"/>
  <c r="BC493" i="14" s="1"/>
  <c r="BB485" i="14"/>
  <c r="BB493" i="14" s="1"/>
  <c r="BA485" i="14"/>
  <c r="BA493" i="14" s="1"/>
  <c r="AZ485" i="14"/>
  <c r="AZ493" i="14" s="1"/>
  <c r="AY485" i="14"/>
  <c r="AX485" i="14"/>
  <c r="AW485" i="14"/>
  <c r="AW493" i="14" s="1"/>
  <c r="AV485" i="14"/>
  <c r="AV493" i="14" s="1"/>
  <c r="AU485" i="14"/>
  <c r="AT485" i="14"/>
  <c r="AS485" i="14"/>
  <c r="AR485" i="14"/>
  <c r="AQ485" i="14"/>
  <c r="AP485" i="14"/>
  <c r="AO485" i="14"/>
  <c r="AN485" i="14"/>
  <c r="AM485" i="14"/>
  <c r="AM489" i="14" s="1"/>
  <c r="AL485" i="14"/>
  <c r="BD475" i="14"/>
  <c r="AX474" i="14"/>
  <c r="BD470" i="14"/>
  <c r="BD469" i="14" s="1"/>
  <c r="BG467" i="14"/>
  <c r="BG475" i="14" s="1"/>
  <c r="BF467" i="14"/>
  <c r="BE467" i="14"/>
  <c r="BE475" i="14" s="1"/>
  <c r="BD467" i="14"/>
  <c r="BC467" i="14"/>
  <c r="BC475" i="14" s="1"/>
  <c r="BB467" i="14"/>
  <c r="BB470" i="14" s="1"/>
  <c r="BB471" i="14" s="1"/>
  <c r="BA467" i="14"/>
  <c r="AZ467" i="14"/>
  <c r="AZ475" i="14" s="1"/>
  <c r="AY467" i="14"/>
  <c r="AY475" i="14" s="1"/>
  <c r="AX467" i="14"/>
  <c r="AX475" i="14" s="1"/>
  <c r="AW467" i="14"/>
  <c r="AV467" i="14"/>
  <c r="AV475" i="14" s="1"/>
  <c r="AU467" i="14"/>
  <c r="AU475" i="14" s="1"/>
  <c r="AT467" i="14"/>
  <c r="AS467" i="14"/>
  <c r="AR467" i="14"/>
  <c r="AQ467" i="14"/>
  <c r="AP467" i="14"/>
  <c r="AO467" i="14"/>
  <c r="AN467" i="14"/>
  <c r="AM467" i="14"/>
  <c r="AL467" i="14"/>
  <c r="BG466" i="14"/>
  <c r="BG470" i="14" s="1"/>
  <c r="BF466" i="14"/>
  <c r="BE466" i="14"/>
  <c r="BE474" i="14" s="1"/>
  <c r="BD466" i="14"/>
  <c r="BD474" i="14" s="1"/>
  <c r="BC466" i="14"/>
  <c r="BC470" i="14" s="1"/>
  <c r="BB466" i="14"/>
  <c r="BB474" i="14" s="1"/>
  <c r="BA466" i="14"/>
  <c r="BA474" i="14" s="1"/>
  <c r="AZ466" i="14"/>
  <c r="AY466" i="14"/>
  <c r="AX466" i="14"/>
  <c r="AX470" i="14" s="1"/>
  <c r="AX468" i="14" s="1"/>
  <c r="AW466" i="14"/>
  <c r="AW474" i="14" s="1"/>
  <c r="AV466" i="14"/>
  <c r="AU466" i="14"/>
  <c r="AT466" i="14"/>
  <c r="AS466" i="14"/>
  <c r="AR466" i="14"/>
  <c r="AQ466" i="14"/>
  <c r="AQ470" i="14" s="1"/>
  <c r="AP466" i="14"/>
  <c r="AO466" i="14"/>
  <c r="AN466" i="14"/>
  <c r="AM466" i="14"/>
  <c r="AM470" i="14" s="1"/>
  <c r="AL466" i="14"/>
  <c r="AL470" i="14" s="1"/>
  <c r="BD457" i="14"/>
  <c r="AZ457" i="14"/>
  <c r="AY457" i="14"/>
  <c r="AU457" i="14"/>
  <c r="AM457" i="14"/>
  <c r="AF457" i="14"/>
  <c r="AE457" i="14"/>
  <c r="AD457" i="14"/>
  <c r="BD456" i="14"/>
  <c r="BC456" i="14"/>
  <c r="AU456" i="14"/>
  <c r="AM456" i="14"/>
  <c r="AF456" i="14"/>
  <c r="AE456" i="14"/>
  <c r="AD456" i="14"/>
  <c r="AC456" i="14"/>
  <c r="AC455" i="14"/>
  <c r="AC457" i="14" s="1"/>
  <c r="AB455" i="14"/>
  <c r="AB457" i="14" s="1"/>
  <c r="AC454" i="14"/>
  <c r="AB454" i="14"/>
  <c r="AB456" i="14" s="1"/>
  <c r="AM453" i="14"/>
  <c r="BD452" i="14"/>
  <c r="BC452" i="14"/>
  <c r="AY452" i="14"/>
  <c r="AU452" i="14"/>
  <c r="BC451" i="14"/>
  <c r="AN451" i="14"/>
  <c r="AF451" i="14"/>
  <c r="AE451" i="14"/>
  <c r="AD451" i="14"/>
  <c r="BC450" i="14"/>
  <c r="AF450" i="14"/>
  <c r="AE450" i="14"/>
  <c r="AD450" i="14"/>
  <c r="BG449" i="14"/>
  <c r="BG457" i="14" s="1"/>
  <c r="BF449" i="14"/>
  <c r="BE449" i="14"/>
  <c r="BD449" i="14"/>
  <c r="BC449" i="14"/>
  <c r="BC457" i="14" s="1"/>
  <c r="BB449" i="14"/>
  <c r="BA449" i="14"/>
  <c r="AZ449" i="14"/>
  <c r="AY449" i="14"/>
  <c r="AX449" i="14"/>
  <c r="AW449" i="14"/>
  <c r="AV449" i="14"/>
  <c r="AV457" i="14" s="1"/>
  <c r="AU449" i="14"/>
  <c r="AT449" i="14"/>
  <c r="AS449" i="14"/>
  <c r="AR449" i="14"/>
  <c r="AR457" i="14" s="1"/>
  <c r="AQ449" i="14"/>
  <c r="AQ457" i="14" s="1"/>
  <c r="AP449" i="14"/>
  <c r="AO449" i="14"/>
  <c r="AN449" i="14"/>
  <c r="AN457" i="14" s="1"/>
  <c r="AM449" i="14"/>
  <c r="AL449" i="14"/>
  <c r="AC449" i="14"/>
  <c r="AC451" i="14" s="1"/>
  <c r="AB449" i="14"/>
  <c r="AB451" i="14" s="1"/>
  <c r="BG448" i="14"/>
  <c r="BG456" i="14" s="1"/>
  <c r="BF448" i="14"/>
  <c r="BE448" i="14"/>
  <c r="BD448" i="14"/>
  <c r="BC448" i="14"/>
  <c r="BB448" i="14"/>
  <c r="BA448" i="14"/>
  <c r="AZ448" i="14"/>
  <c r="AY448" i="14"/>
  <c r="AY456" i="14" s="1"/>
  <c r="AX448" i="14"/>
  <c r="AW448" i="14"/>
  <c r="AV448" i="14"/>
  <c r="AV456" i="14" s="1"/>
  <c r="AU448" i="14"/>
  <c r="AT448" i="14"/>
  <c r="AT452" i="14" s="1"/>
  <c r="AS448" i="14"/>
  <c r="AR448" i="14"/>
  <c r="AR456" i="14" s="1"/>
  <c r="AQ448" i="14"/>
  <c r="AQ456" i="14" s="1"/>
  <c r="AP448" i="14"/>
  <c r="AP456" i="14" s="1"/>
  <c r="AO448" i="14"/>
  <c r="AN448" i="14"/>
  <c r="AN452" i="14" s="1"/>
  <c r="AM448" i="14"/>
  <c r="AM452" i="14" s="1"/>
  <c r="AL448" i="14"/>
  <c r="AL456" i="14" s="1"/>
  <c r="AC448" i="14"/>
  <c r="AC450" i="14" s="1"/>
  <c r="AB448" i="14"/>
  <c r="AB450" i="14" s="1"/>
  <c r="AM440" i="14"/>
  <c r="AU437" i="14"/>
  <c r="AM437" i="14"/>
  <c r="AU436" i="14"/>
  <c r="AQ436" i="14"/>
  <c r="AV431" i="14"/>
  <c r="AL430" i="14"/>
  <c r="AZ427" i="14"/>
  <c r="AL427" i="14"/>
  <c r="AY426" i="14"/>
  <c r="AX426" i="14"/>
  <c r="AT426" i="14"/>
  <c r="AN426" i="14"/>
  <c r="AM426" i="14"/>
  <c r="BE419" i="14"/>
  <c r="BB419" i="14"/>
  <c r="AX419" i="14"/>
  <c r="AW419" i="14"/>
  <c r="AT419" i="14"/>
  <c r="AP419" i="14"/>
  <c r="AO419" i="14"/>
  <c r="BC418" i="14"/>
  <c r="BB418" i="14"/>
  <c r="AY418" i="14"/>
  <c r="AT418" i="14"/>
  <c r="AQ418" i="14"/>
  <c r="AM418" i="14"/>
  <c r="AL418" i="14"/>
  <c r="AS413" i="14"/>
  <c r="BF411" i="14"/>
  <c r="BA441" i="14" s="1"/>
  <c r="BE411" i="14"/>
  <c r="AZ431" i="14" s="1"/>
  <c r="BD411" i="14"/>
  <c r="BC411" i="14"/>
  <c r="BB411" i="14"/>
  <c r="AW441" i="14" s="1"/>
  <c r="BA411" i="14"/>
  <c r="BA419" i="14" s="1"/>
  <c r="AZ411" i="14"/>
  <c r="AY411" i="14"/>
  <c r="AX411" i="14"/>
  <c r="AS441" i="14" s="1"/>
  <c r="AW411" i="14"/>
  <c r="AV411" i="14"/>
  <c r="AU411" i="14"/>
  <c r="AT411" i="14"/>
  <c r="AT597" i="14" s="1"/>
  <c r="AS411" i="14"/>
  <c r="AS597" i="14" s="1"/>
  <c r="AR411" i="14"/>
  <c r="AQ411" i="14"/>
  <c r="AP411" i="14"/>
  <c r="AL441" i="14" s="1"/>
  <c r="AO411" i="14"/>
  <c r="AO597" i="14" s="1"/>
  <c r="AN411" i="14"/>
  <c r="AM411" i="14"/>
  <c r="AL411" i="14"/>
  <c r="AL597" i="14" s="1"/>
  <c r="AL605" i="14" s="1"/>
  <c r="BF410" i="14"/>
  <c r="BF418" i="14" s="1"/>
  <c r="BE410" i="14"/>
  <c r="BD410" i="14"/>
  <c r="BD414" i="14" s="1"/>
  <c r="BC410" i="14"/>
  <c r="AX440" i="14" s="1"/>
  <c r="BB410" i="14"/>
  <c r="BA410" i="14"/>
  <c r="AZ410" i="14"/>
  <c r="AU440" i="14" s="1"/>
  <c r="AY410" i="14"/>
  <c r="AT440" i="14" s="1"/>
  <c r="AX410" i="14"/>
  <c r="AX418" i="14" s="1"/>
  <c r="AW410" i="14"/>
  <c r="AV410" i="14"/>
  <c r="AU410" i="14"/>
  <c r="AU418" i="14" s="1"/>
  <c r="AT410" i="14"/>
  <c r="AT596" i="14" s="1"/>
  <c r="AS410" i="14"/>
  <c r="AS414" i="14" s="1"/>
  <c r="AS421" i="14" s="1"/>
  <c r="AR410" i="14"/>
  <c r="AQ410" i="14"/>
  <c r="AQ596" i="14" s="1"/>
  <c r="AP410" i="14"/>
  <c r="AP596" i="14" s="1"/>
  <c r="AO410" i="14"/>
  <c r="AN410" i="14"/>
  <c r="AM410" i="14"/>
  <c r="AM596" i="14" s="1"/>
  <c r="AL410" i="14"/>
  <c r="AL596" i="14" s="1"/>
  <c r="BF402" i="14"/>
  <c r="BC402" i="14"/>
  <c r="BB402" i="14"/>
  <c r="AX402" i="14"/>
  <c r="AU402" i="14"/>
  <c r="AT402" i="14"/>
  <c r="AL402" i="14"/>
  <c r="BC401" i="14"/>
  <c r="AU401" i="14"/>
  <c r="AQ401" i="14"/>
  <c r="AP397" i="14"/>
  <c r="AP404" i="14" s="1"/>
  <c r="BF394" i="14"/>
  <c r="BE394" i="14"/>
  <c r="BD394" i="14"/>
  <c r="BC394" i="14"/>
  <c r="AX437" i="14" s="1"/>
  <c r="BB394" i="14"/>
  <c r="BA394" i="14"/>
  <c r="AZ394" i="14"/>
  <c r="AY394" i="14"/>
  <c r="AX394" i="14"/>
  <c r="AW394" i="14"/>
  <c r="AV394" i="14"/>
  <c r="AQ427" i="14" s="1"/>
  <c r="AU394" i="14"/>
  <c r="AT394" i="14"/>
  <c r="AT581" i="14" s="1"/>
  <c r="AS394" i="14"/>
  <c r="AR394" i="14"/>
  <c r="AQ394" i="14"/>
  <c r="AP394" i="14"/>
  <c r="AP581" i="14" s="1"/>
  <c r="AO394" i="14"/>
  <c r="AN394" i="14"/>
  <c r="AM394" i="14"/>
  <c r="AM581" i="14" s="1"/>
  <c r="AL394" i="14"/>
  <c r="AL581" i="14" s="1"/>
  <c r="BF393" i="14"/>
  <c r="BE393" i="14"/>
  <c r="BD393" i="14"/>
  <c r="AY436" i="14" s="1"/>
  <c r="BC393" i="14"/>
  <c r="BB393" i="14"/>
  <c r="BA393" i="14"/>
  <c r="AZ393" i="14"/>
  <c r="AY393" i="14"/>
  <c r="AY401" i="14" s="1"/>
  <c r="AX393" i="14"/>
  <c r="AW393" i="14"/>
  <c r="AV393" i="14"/>
  <c r="AU393" i="14"/>
  <c r="AT393" i="14"/>
  <c r="AS393" i="14"/>
  <c r="AR393" i="14"/>
  <c r="AN436" i="14" s="1"/>
  <c r="AQ393" i="14"/>
  <c r="AQ580" i="14" s="1"/>
  <c r="AP393" i="14"/>
  <c r="AO393" i="14"/>
  <c r="AN393" i="14"/>
  <c r="AM393" i="14"/>
  <c r="AM580" i="14" s="1"/>
  <c r="AL393" i="14"/>
  <c r="AL387" i="14"/>
  <c r="AO386" i="14"/>
  <c r="AN386" i="14"/>
  <c r="AM386" i="14"/>
  <c r="AL386" i="14"/>
  <c r="AT385" i="14"/>
  <c r="AO385" i="14"/>
  <c r="AN385" i="14"/>
  <c r="AM385" i="14"/>
  <c r="AL385" i="14"/>
  <c r="AO382" i="14"/>
  <c r="AN382" i="14"/>
  <c r="AM382" i="14"/>
  <c r="AL382" i="14"/>
  <c r="AW381" i="14"/>
  <c r="AP381" i="14"/>
  <c r="AO381" i="14"/>
  <c r="AN381" i="14"/>
  <c r="AM381" i="14"/>
  <c r="AL381" i="14"/>
  <c r="AX376" i="14"/>
  <c r="AO376" i="14"/>
  <c r="AN376" i="14"/>
  <c r="AM376" i="14"/>
  <c r="AL376" i="14"/>
  <c r="AX375" i="14"/>
  <c r="AO375" i="14"/>
  <c r="AN375" i="14"/>
  <c r="AM375" i="14"/>
  <c r="AL375" i="14"/>
  <c r="AP372" i="14"/>
  <c r="AO372" i="14"/>
  <c r="AN372" i="14"/>
  <c r="AM372" i="14"/>
  <c r="AL372" i="14"/>
  <c r="AX371" i="14"/>
  <c r="AR371" i="14"/>
  <c r="AO371" i="14"/>
  <c r="AN371" i="14"/>
  <c r="AM371" i="14"/>
  <c r="AL371" i="14"/>
  <c r="AT365" i="14"/>
  <c r="AO365" i="14"/>
  <c r="F365" i="14"/>
  <c r="AF364" i="14"/>
  <c r="AG364" i="14" s="1"/>
  <c r="M364" i="14"/>
  <c r="M365" i="14" s="1"/>
  <c r="J364" i="14"/>
  <c r="J365" i="14" s="1"/>
  <c r="BF363" i="14"/>
  <c r="AY363" i="14"/>
  <c r="AT363" i="14"/>
  <c r="AS363" i="14"/>
  <c r="AR363" i="14"/>
  <c r="AQ363" i="14"/>
  <c r="AP363" i="14"/>
  <c r="AO363" i="14"/>
  <c r="AN363" i="14"/>
  <c r="AM363" i="14"/>
  <c r="AL363" i="14"/>
  <c r="AF363" i="14"/>
  <c r="BD362" i="14"/>
  <c r="BC362" i="14"/>
  <c r="AT362" i="14"/>
  <c r="AS362" i="14"/>
  <c r="AR362" i="14"/>
  <c r="AQ362" i="14"/>
  <c r="AP362" i="14"/>
  <c r="AO362" i="14"/>
  <c r="AN362" i="14"/>
  <c r="AM362" i="14"/>
  <c r="AL362" i="14"/>
  <c r="AF362" i="14"/>
  <c r="AF361" i="14"/>
  <c r="AF360" i="14"/>
  <c r="AS359" i="14"/>
  <c r="AM359" i="14"/>
  <c r="AL359" i="14"/>
  <c r="AT358" i="14"/>
  <c r="AT357" i="14" s="1"/>
  <c r="AS358" i="14"/>
  <c r="AS365" i="14" s="1"/>
  <c r="AR358" i="14"/>
  <c r="AQ358" i="14"/>
  <c r="AQ359" i="14" s="1"/>
  <c r="AP358" i="14"/>
  <c r="AO358" i="14"/>
  <c r="AO359" i="14" s="1"/>
  <c r="AN358" i="14"/>
  <c r="AM358" i="14"/>
  <c r="AL358" i="14"/>
  <c r="AL365" i="14" s="1"/>
  <c r="F358" i="14"/>
  <c r="AS357" i="14"/>
  <c r="AQ357" i="14"/>
  <c r="AP357" i="14"/>
  <c r="AO357" i="14"/>
  <c r="AL357" i="14"/>
  <c r="U357" i="14"/>
  <c r="T357" i="14"/>
  <c r="S357" i="14"/>
  <c r="R357" i="14"/>
  <c r="Q357" i="14"/>
  <c r="P357" i="14"/>
  <c r="O357" i="14"/>
  <c r="N357" i="14"/>
  <c r="M357" i="14"/>
  <c r="L357" i="14"/>
  <c r="K357" i="14"/>
  <c r="J357" i="14"/>
  <c r="I357" i="14"/>
  <c r="H357" i="14"/>
  <c r="G357" i="14"/>
  <c r="AS356" i="14"/>
  <c r="AP356" i="14"/>
  <c r="AO356" i="14"/>
  <c r="AL356" i="14"/>
  <c r="AA356" i="14"/>
  <c r="AH356" i="14" s="1"/>
  <c r="Z356" i="14"/>
  <c r="AF356" i="14" s="1"/>
  <c r="X356" i="14"/>
  <c r="W356" i="14"/>
  <c r="AI356" i="14" s="1"/>
  <c r="V356" i="14"/>
  <c r="BF355" i="14"/>
  <c r="BE355" i="14"/>
  <c r="BD355" i="14"/>
  <c r="BD358" i="14" s="1"/>
  <c r="BC355" i="14"/>
  <c r="BC363" i="14" s="1"/>
  <c r="BB355" i="14"/>
  <c r="BA355" i="14"/>
  <c r="AZ355" i="14"/>
  <c r="AZ358" i="14" s="1"/>
  <c r="AY355" i="14"/>
  <c r="AX355" i="14"/>
  <c r="AX363" i="14" s="1"/>
  <c r="AW355" i="14"/>
  <c r="AV355" i="14"/>
  <c r="AV358" i="14" s="1"/>
  <c r="AU355" i="14"/>
  <c r="AA355" i="14"/>
  <c r="Z355" i="14"/>
  <c r="AF355" i="14" s="1"/>
  <c r="X355" i="14"/>
  <c r="W355" i="14"/>
  <c r="V355" i="14"/>
  <c r="BF354" i="14"/>
  <c r="BE354" i="14"/>
  <c r="AZ385" i="14" s="1"/>
  <c r="BD354" i="14"/>
  <c r="BC354" i="14"/>
  <c r="BC358" i="14" s="1"/>
  <c r="BB354" i="14"/>
  <c r="BB358" i="14" s="1"/>
  <c r="BA354" i="14"/>
  <c r="AZ354" i="14"/>
  <c r="AZ362" i="14" s="1"/>
  <c r="AY354" i="14"/>
  <c r="AX354" i="14"/>
  <c r="AX362" i="14" s="1"/>
  <c r="AW354" i="14"/>
  <c r="AV354" i="14"/>
  <c r="AU354" i="14"/>
  <c r="AA354" i="14"/>
  <c r="AH354" i="14" s="1"/>
  <c r="Z354" i="14"/>
  <c r="AF354" i="14" s="1"/>
  <c r="X354" i="14"/>
  <c r="Y357" i="14" s="1"/>
  <c r="W354" i="14"/>
  <c r="V354" i="14"/>
  <c r="V357" i="14" s="1"/>
  <c r="AA353" i="14"/>
  <c r="Z353" i="14"/>
  <c r="X353" i="14"/>
  <c r="W353" i="14"/>
  <c r="V353" i="14"/>
  <c r="AQ348" i="14"/>
  <c r="AP348" i="14"/>
  <c r="AL348" i="14"/>
  <c r="BB346" i="14"/>
  <c r="AZ346" i="14"/>
  <c r="AY346" i="14"/>
  <c r="AU346" i="14"/>
  <c r="AT346" i="14"/>
  <c r="AS346" i="14"/>
  <c r="AR346" i="14"/>
  <c r="AQ346" i="14"/>
  <c r="AP346" i="14"/>
  <c r="AO346" i="14"/>
  <c r="AN346" i="14"/>
  <c r="AM346" i="14"/>
  <c r="AL346" i="14"/>
  <c r="AY345" i="14"/>
  <c r="AT345" i="14"/>
  <c r="AS345" i="14"/>
  <c r="AR345" i="14"/>
  <c r="AQ345" i="14"/>
  <c r="AP345" i="14"/>
  <c r="AO345" i="14"/>
  <c r="AN345" i="14"/>
  <c r="AM345" i="14"/>
  <c r="AL345" i="14"/>
  <c r="AP342" i="14"/>
  <c r="BF341" i="14"/>
  <c r="BA341" i="14"/>
  <c r="BA348" i="14" s="1"/>
  <c r="AY341" i="14"/>
  <c r="AT341" i="14"/>
  <c r="AS341" i="14"/>
  <c r="AR341" i="14"/>
  <c r="AR342" i="14" s="1"/>
  <c r="AQ341" i="14"/>
  <c r="AQ339" i="14" s="1"/>
  <c r="AP341" i="14"/>
  <c r="AO341" i="14"/>
  <c r="AN341" i="14"/>
  <c r="AM341" i="14"/>
  <c r="AM340" i="14" s="1"/>
  <c r="AL341" i="14"/>
  <c r="AL340" i="14"/>
  <c r="AS339" i="14"/>
  <c r="AM339" i="14"/>
  <c r="BF338" i="14"/>
  <c r="BE338" i="14"/>
  <c r="AZ382" i="14" s="1"/>
  <c r="BD338" i="14"/>
  <c r="BC338" i="14"/>
  <c r="BB338" i="14"/>
  <c r="BA338" i="14"/>
  <c r="AZ338" i="14"/>
  <c r="AY338" i="14"/>
  <c r="AX338" i="14"/>
  <c r="AW338" i="14"/>
  <c r="AR382" i="14" s="1"/>
  <c r="AV338" i="14"/>
  <c r="AV346" i="14" s="1"/>
  <c r="AU338" i="14"/>
  <c r="AP382" i="14" s="1"/>
  <c r="BF337" i="14"/>
  <c r="BE337" i="14"/>
  <c r="BD337" i="14"/>
  <c r="BD345" i="14" s="1"/>
  <c r="BC337" i="14"/>
  <c r="BB337" i="14"/>
  <c r="BA337" i="14"/>
  <c r="AZ337" i="14"/>
  <c r="AY337" i="14"/>
  <c r="AX337" i="14"/>
  <c r="AW337" i="14"/>
  <c r="AV337" i="14"/>
  <c r="AU337" i="14"/>
  <c r="AV325" i="14"/>
  <c r="AU325" i="14"/>
  <c r="AM325" i="14"/>
  <c r="AV324" i="14"/>
  <c r="AU324" i="14"/>
  <c r="Z322" i="14"/>
  <c r="L322" i="14"/>
  <c r="AX321" i="14"/>
  <c r="AV321" i="14"/>
  <c r="AU321" i="14"/>
  <c r="AV320" i="14"/>
  <c r="AU320" i="14"/>
  <c r="AH320" i="14"/>
  <c r="AF320" i="14"/>
  <c r="Y319" i="14"/>
  <c r="AF319" i="14" s="1"/>
  <c r="W319" i="14"/>
  <c r="V319" i="14"/>
  <c r="AH319" i="14" s="1"/>
  <c r="U319" i="14"/>
  <c r="Y318" i="14"/>
  <c r="AF318" i="14" s="1"/>
  <c r="W318" i="14"/>
  <c r="V318" i="14"/>
  <c r="AH318" i="14" s="1"/>
  <c r="U318" i="14"/>
  <c r="AH315" i="14"/>
  <c r="AF315" i="14"/>
  <c r="AH314" i="14"/>
  <c r="Y314" i="14"/>
  <c r="AF314" i="14" s="1"/>
  <c r="W314" i="14"/>
  <c r="V314" i="14"/>
  <c r="U314" i="14"/>
  <c r="AQ313" i="14"/>
  <c r="AN313" i="14"/>
  <c r="Y313" i="14"/>
  <c r="AF313" i="14" s="1"/>
  <c r="W313" i="14"/>
  <c r="V313" i="14"/>
  <c r="AH313" i="14" s="1"/>
  <c r="U313" i="14"/>
  <c r="AL312" i="14"/>
  <c r="X311" i="14"/>
  <c r="W311" i="14"/>
  <c r="V311" i="14"/>
  <c r="U311" i="14"/>
  <c r="T311" i="14"/>
  <c r="S311" i="14"/>
  <c r="R311" i="14"/>
  <c r="Q311" i="14"/>
  <c r="P311" i="14"/>
  <c r="O311" i="14"/>
  <c r="N311" i="14"/>
  <c r="M311" i="14"/>
  <c r="L311" i="14"/>
  <c r="K311" i="14"/>
  <c r="J311" i="14"/>
  <c r="I311" i="14"/>
  <c r="H311" i="14"/>
  <c r="G311" i="14"/>
  <c r="F311" i="14"/>
  <c r="AH310" i="14"/>
  <c r="AF310" i="14"/>
  <c r="AT309" i="14"/>
  <c r="AQ309" i="14"/>
  <c r="AM309" i="14"/>
  <c r="Y309" i="14"/>
  <c r="AF309" i="14" s="1"/>
  <c r="W309" i="14"/>
  <c r="V309" i="14"/>
  <c r="AH309" i="14" s="1"/>
  <c r="U309" i="14"/>
  <c r="AV308" i="14"/>
  <c r="AO308" i="14"/>
  <c r="AL308" i="14"/>
  <c r="Y308" i="14"/>
  <c r="AF308" i="14" s="1"/>
  <c r="W308" i="14"/>
  <c r="V308" i="14"/>
  <c r="AH308" i="14" s="1"/>
  <c r="U308" i="14"/>
  <c r="X306" i="14"/>
  <c r="W306" i="14"/>
  <c r="V306" i="14"/>
  <c r="U306" i="14"/>
  <c r="T306" i="14"/>
  <c r="S306" i="14"/>
  <c r="R306" i="14"/>
  <c r="Q306" i="14"/>
  <c r="P306" i="14"/>
  <c r="O306" i="14"/>
  <c r="N306" i="14"/>
  <c r="M306" i="14"/>
  <c r="L306" i="14"/>
  <c r="K306" i="14"/>
  <c r="J306" i="14"/>
  <c r="I306" i="14"/>
  <c r="H306" i="14"/>
  <c r="G306" i="14"/>
  <c r="F306" i="14"/>
  <c r="AH305" i="14"/>
  <c r="AF305" i="14"/>
  <c r="AF304" i="14"/>
  <c r="Y304" i="14"/>
  <c r="X304" i="14"/>
  <c r="W304" i="14"/>
  <c r="V304" i="14"/>
  <c r="AH304" i="14" s="1"/>
  <c r="U304" i="14"/>
  <c r="O304" i="14"/>
  <c r="Y303" i="14"/>
  <c r="AF303" i="14" s="1"/>
  <c r="W303" i="14"/>
  <c r="V303" i="14"/>
  <c r="AH303" i="14" s="1"/>
  <c r="U303" i="14"/>
  <c r="X301" i="14"/>
  <c r="W301" i="14"/>
  <c r="V301" i="14"/>
  <c r="U301" i="14"/>
  <c r="T301" i="14"/>
  <c r="S301" i="14"/>
  <c r="R301" i="14"/>
  <c r="Q301" i="14"/>
  <c r="P301" i="14"/>
  <c r="O301" i="14"/>
  <c r="N301" i="14"/>
  <c r="M301" i="14"/>
  <c r="L301" i="14"/>
  <c r="K301" i="14"/>
  <c r="J301" i="14"/>
  <c r="I301" i="14"/>
  <c r="H301" i="14"/>
  <c r="G301" i="14"/>
  <c r="F301" i="14"/>
  <c r="BA300" i="14"/>
  <c r="AZ300" i="14"/>
  <c r="AY300" i="14"/>
  <c r="AR300" i="14"/>
  <c r="BE299" i="14"/>
  <c r="BC299" i="14"/>
  <c r="BA299" i="14"/>
  <c r="AZ299" i="14"/>
  <c r="AY299" i="14"/>
  <c r="AV299" i="14"/>
  <c r="AR299" i="14"/>
  <c r="AN299" i="14"/>
  <c r="BE295" i="14"/>
  <c r="BA295" i="14"/>
  <c r="AZ295" i="14"/>
  <c r="AY295" i="14"/>
  <c r="AY302" i="14" s="1"/>
  <c r="AX295" i="14"/>
  <c r="AX302" i="14" s="1"/>
  <c r="AP295" i="14"/>
  <c r="AP296" i="14" s="1"/>
  <c r="AY294" i="14"/>
  <c r="AX294" i="14"/>
  <c r="AZ293" i="14"/>
  <c r="AY293" i="14"/>
  <c r="BF292" i="14"/>
  <c r="BA325" i="14" s="1"/>
  <c r="BE292" i="14"/>
  <c r="BD292" i="14"/>
  <c r="BC292" i="14"/>
  <c r="BC300" i="14" s="1"/>
  <c r="BB292" i="14"/>
  <c r="BB300" i="14" s="1"/>
  <c r="AX292" i="14"/>
  <c r="AX300" i="14" s="1"/>
  <c r="AW292" i="14"/>
  <c r="AV292" i="14"/>
  <c r="AU313" i="14" s="1"/>
  <c r="AU292" i="14"/>
  <c r="AQ325" i="14" s="1"/>
  <c r="AT292" i="14"/>
  <c r="AS292" i="14"/>
  <c r="AS295" i="14" s="1"/>
  <c r="AR292" i="14"/>
  <c r="AQ292" i="14"/>
  <c r="AP292" i="14"/>
  <c r="AO292" i="14"/>
  <c r="AN292" i="14"/>
  <c r="AN300" i="14" s="1"/>
  <c r="AM292" i="14"/>
  <c r="AM300" i="14" s="1"/>
  <c r="AL292" i="14"/>
  <c r="AL300" i="14" s="1"/>
  <c r="BF291" i="14"/>
  <c r="BE291" i="14"/>
  <c r="AZ312" i="14" s="1"/>
  <c r="BD291" i="14"/>
  <c r="BC291" i="14"/>
  <c r="AX312" i="14" s="1"/>
  <c r="BB291" i="14"/>
  <c r="AW324" i="14" s="1"/>
  <c r="AX291" i="14"/>
  <c r="AT324" i="14" s="1"/>
  <c r="AW291" i="14"/>
  <c r="AV291" i="14"/>
  <c r="AU291" i="14"/>
  <c r="AT291" i="14"/>
  <c r="AT299" i="14" s="1"/>
  <c r="AS291" i="14"/>
  <c r="AR291" i="14"/>
  <c r="AQ291" i="14"/>
  <c r="AP291" i="14"/>
  <c r="AO291" i="14"/>
  <c r="AN291" i="14"/>
  <c r="AM291" i="14"/>
  <c r="AM299" i="14" s="1"/>
  <c r="AL291" i="14"/>
  <c r="BD285" i="14"/>
  <c r="BC285" i="14"/>
  <c r="BB285" i="14"/>
  <c r="BA285" i="14"/>
  <c r="AZ285" i="14"/>
  <c r="AY285" i="14"/>
  <c r="BF283" i="14"/>
  <c r="BB283" i="14"/>
  <c r="BA283" i="14"/>
  <c r="AZ283" i="14"/>
  <c r="AY283" i="14"/>
  <c r="AU283" i="14"/>
  <c r="AP283" i="14"/>
  <c r="AM283" i="14"/>
  <c r="BD282" i="14"/>
  <c r="BA282" i="14"/>
  <c r="AZ282" i="14"/>
  <c r="AY282" i="14"/>
  <c r="AP282" i="14"/>
  <c r="AN282" i="14"/>
  <c r="AL282" i="14"/>
  <c r="AZ279" i="14"/>
  <c r="BE278" i="14"/>
  <c r="BE285" i="14" s="1"/>
  <c r="BA278" i="14"/>
  <c r="BA276" i="14" s="1"/>
  <c r="AZ278" i="14"/>
  <c r="AV322" i="14" s="1"/>
  <c r="AY278" i="14"/>
  <c r="AY279" i="14" s="1"/>
  <c r="AV278" i="14"/>
  <c r="AN278" i="14"/>
  <c r="BA277" i="14"/>
  <c r="AY277" i="14"/>
  <c r="AZ276" i="14"/>
  <c r="AY276" i="14"/>
  <c r="BF275" i="14"/>
  <c r="BE275" i="14"/>
  <c r="AZ309" i="14" s="1"/>
  <c r="BD275" i="14"/>
  <c r="AY321" i="14" s="1"/>
  <c r="BC275" i="14"/>
  <c r="AX309" i="14" s="1"/>
  <c r="BB275" i="14"/>
  <c r="AX275" i="14"/>
  <c r="AT321" i="14" s="1"/>
  <c r="AW275" i="14"/>
  <c r="AV275" i="14"/>
  <c r="AQ321" i="14" s="1"/>
  <c r="AU275" i="14"/>
  <c r="AT275" i="14"/>
  <c r="AS275" i="14"/>
  <c r="AS283" i="14" s="1"/>
  <c r="AR275" i="14"/>
  <c r="AN309" i="14" s="1"/>
  <c r="AQ275" i="14"/>
  <c r="AQ283" i="14" s="1"/>
  <c r="AP275" i="14"/>
  <c r="AO275" i="14"/>
  <c r="AO283" i="14" s="1"/>
  <c r="AN275" i="14"/>
  <c r="AM275" i="14"/>
  <c r="AL275" i="14"/>
  <c r="BF274" i="14"/>
  <c r="BE274" i="14"/>
  <c r="BD274" i="14"/>
  <c r="AY308" i="14" s="1"/>
  <c r="BC274" i="14"/>
  <c r="AY320" i="14" s="1"/>
  <c r="BB274" i="14"/>
  <c r="AX274" i="14"/>
  <c r="AT320" i="14" s="1"/>
  <c r="AW274" i="14"/>
  <c r="AV274" i="14"/>
  <c r="AU274" i="14"/>
  <c r="AU282" i="14" s="1"/>
  <c r="AT274" i="14"/>
  <c r="AT282" i="14" s="1"/>
  <c r="AS274" i="14"/>
  <c r="AS282" i="14" s="1"/>
  <c r="AR274" i="14"/>
  <c r="AQ274" i="14"/>
  <c r="AP274" i="14"/>
  <c r="AO274" i="14"/>
  <c r="AO282" i="14" s="1"/>
  <c r="AN274" i="14"/>
  <c r="AM274" i="14"/>
  <c r="AL274" i="14"/>
  <c r="AX267" i="14"/>
  <c r="AW267" i="14"/>
  <c r="AV267" i="14"/>
  <c r="AU267" i="14"/>
  <c r="AP267" i="14"/>
  <c r="AW266" i="14"/>
  <c r="AV266" i="14"/>
  <c r="AU266" i="14"/>
  <c r="AW263" i="14"/>
  <c r="AV263" i="14"/>
  <c r="AU263" i="14"/>
  <c r="AT263" i="14"/>
  <c r="AS263" i="14"/>
  <c r="AR263" i="14"/>
  <c r="AQ263" i="14"/>
  <c r="AW262" i="14"/>
  <c r="AV262" i="14"/>
  <c r="AU262" i="14"/>
  <c r="AT262" i="14"/>
  <c r="AS262" i="14"/>
  <c r="AR262" i="14"/>
  <c r="AQ262" i="14"/>
  <c r="N260" i="14"/>
  <c r="AZ256" i="14"/>
  <c r="AY255" i="14"/>
  <c r="AN255" i="14"/>
  <c r="AC255" i="14"/>
  <c r="AJ255" i="14" s="1"/>
  <c r="AB255" i="14"/>
  <c r="AA255" i="14"/>
  <c r="Z255" i="14"/>
  <c r="Y255" i="14"/>
  <c r="X255" i="14"/>
  <c r="W255" i="14"/>
  <c r="V255" i="14"/>
  <c r="U255" i="14"/>
  <c r="T255" i="14"/>
  <c r="S255" i="14"/>
  <c r="R255" i="14"/>
  <c r="Q255" i="14"/>
  <c r="P255" i="14"/>
  <c r="O255" i="14"/>
  <c r="N255" i="14"/>
  <c r="M255" i="14"/>
  <c r="L255" i="14"/>
  <c r="K255" i="14"/>
  <c r="AY252" i="14"/>
  <c r="AW252" i="14"/>
  <c r="AV252" i="14"/>
  <c r="AU252" i="14"/>
  <c r="AT252" i="14"/>
  <c r="AO252" i="14"/>
  <c r="AW251" i="14"/>
  <c r="AV251" i="14"/>
  <c r="AU251" i="14"/>
  <c r="AT251" i="14"/>
  <c r="AQ251" i="14"/>
  <c r="N251" i="14"/>
  <c r="N250" i="14"/>
  <c r="AC248" i="14"/>
  <c r="AJ248" i="14" s="1"/>
  <c r="AB248" i="14"/>
  <c r="AA248" i="14"/>
  <c r="Z248" i="14"/>
  <c r="Y248" i="14"/>
  <c r="X248" i="14"/>
  <c r="W248" i="14"/>
  <c r="V248" i="14"/>
  <c r="U248" i="14"/>
  <c r="T248" i="14"/>
  <c r="S248" i="14"/>
  <c r="R248" i="14"/>
  <c r="Q248" i="14"/>
  <c r="P248" i="14"/>
  <c r="O248" i="14"/>
  <c r="N248" i="14"/>
  <c r="M248" i="14"/>
  <c r="L248" i="14"/>
  <c r="K248" i="14"/>
  <c r="AY246" i="14"/>
  <c r="BB244" i="14"/>
  <c r="BA244" i="14"/>
  <c r="AZ244" i="14"/>
  <c r="AY244" i="14"/>
  <c r="AQ244" i="14"/>
  <c r="AM244" i="14"/>
  <c r="BB243" i="14"/>
  <c r="BA243" i="14"/>
  <c r="AZ243" i="14"/>
  <c r="AY243" i="14"/>
  <c r="AR243" i="14"/>
  <c r="AN243" i="14"/>
  <c r="BB240" i="14"/>
  <c r="AE240" i="14"/>
  <c r="AD240" i="14"/>
  <c r="AB240" i="14"/>
  <c r="S240" i="14"/>
  <c r="R240" i="14"/>
  <c r="Q240" i="14"/>
  <c r="P240" i="14"/>
  <c r="O240" i="14"/>
  <c r="N240" i="14"/>
  <c r="M240" i="14"/>
  <c r="L240" i="14"/>
  <c r="K240" i="14"/>
  <c r="BB239" i="14"/>
  <c r="BA239" i="14"/>
  <c r="AZ239" i="14"/>
  <c r="AY239" i="14"/>
  <c r="AZ238" i="14"/>
  <c r="BF236" i="14"/>
  <c r="BE236" i="14"/>
  <c r="BD236" i="14"/>
  <c r="BC236" i="14"/>
  <c r="AX256" i="14" s="1"/>
  <c r="AX236" i="14"/>
  <c r="AW236" i="14"/>
  <c r="AV236" i="14"/>
  <c r="AQ256" i="14" s="1"/>
  <c r="AU236" i="14"/>
  <c r="AT236" i="14"/>
  <c r="AS236" i="14"/>
  <c r="AR236" i="14"/>
  <c r="AQ236" i="14"/>
  <c r="AM256" i="14" s="1"/>
  <c r="AP236" i="14"/>
  <c r="AO236" i="14"/>
  <c r="AN236" i="14"/>
  <c r="AN244" i="14" s="1"/>
  <c r="AM236" i="14"/>
  <c r="AL236" i="14"/>
  <c r="BF235" i="14"/>
  <c r="BE235" i="14"/>
  <c r="BD235" i="14"/>
  <c r="BD243" i="14" s="1"/>
  <c r="BC235" i="14"/>
  <c r="AX235" i="14"/>
  <c r="AW255" i="14" s="1"/>
  <c r="AW235" i="14"/>
  <c r="AV235" i="14"/>
  <c r="AU255" i="14" s="1"/>
  <c r="AU235" i="14"/>
  <c r="AT235" i="14"/>
  <c r="AS235" i="14"/>
  <c r="AR235" i="14"/>
  <c r="AQ235" i="14"/>
  <c r="AP235" i="14"/>
  <c r="AO235" i="14"/>
  <c r="AN235" i="14"/>
  <c r="AM235" i="14"/>
  <c r="AL235" i="14"/>
  <c r="BE227" i="14"/>
  <c r="BB227" i="14"/>
  <c r="BA227" i="14"/>
  <c r="AZ227" i="14"/>
  <c r="AY227" i="14"/>
  <c r="AX227" i="14"/>
  <c r="AW227" i="14"/>
  <c r="AV227" i="14"/>
  <c r="AU227" i="14"/>
  <c r="AN227" i="14"/>
  <c r="BB226" i="14"/>
  <c r="BA226" i="14"/>
  <c r="AZ226" i="14"/>
  <c r="AY226" i="14"/>
  <c r="AX226" i="14"/>
  <c r="AW226" i="14"/>
  <c r="AV226" i="14"/>
  <c r="AU226" i="14"/>
  <c r="AT226" i="14"/>
  <c r="AS226" i="14"/>
  <c r="AO226" i="14"/>
  <c r="AW223" i="14"/>
  <c r="BB222" i="14"/>
  <c r="BA222" i="14"/>
  <c r="AZ222" i="14"/>
  <c r="AY222" i="14"/>
  <c r="AX222" i="14"/>
  <c r="AW222" i="14"/>
  <c r="AV222" i="14"/>
  <c r="AU222" i="14"/>
  <c r="BA221" i="14"/>
  <c r="AW221" i="14"/>
  <c r="BB220" i="14"/>
  <c r="AX220" i="14"/>
  <c r="BF219" i="14"/>
  <c r="BE219" i="14"/>
  <c r="BD219" i="14"/>
  <c r="BD227" i="14" s="1"/>
  <c r="BC219" i="14"/>
  <c r="AT219" i="14"/>
  <c r="AS219" i="14"/>
  <c r="AP263" i="14" s="1"/>
  <c r="AR219" i="14"/>
  <c r="AQ219" i="14"/>
  <c r="AQ227" i="14" s="1"/>
  <c r="AP219" i="14"/>
  <c r="AO219" i="14"/>
  <c r="AO227" i="14" s="1"/>
  <c r="AN219" i="14"/>
  <c r="AM219" i="14"/>
  <c r="AM222" i="14" s="1"/>
  <c r="AL219" i="14"/>
  <c r="BF218" i="14"/>
  <c r="BA251" i="14" s="1"/>
  <c r="BE218" i="14"/>
  <c r="BD218" i="14"/>
  <c r="BC218" i="14"/>
  <c r="AX262" i="14" s="1"/>
  <c r="AT218" i="14"/>
  <c r="AS218" i="14"/>
  <c r="AR218" i="14"/>
  <c r="AQ218" i="14"/>
  <c r="AP218" i="14"/>
  <c r="AO218" i="14"/>
  <c r="AO222" i="14" s="1"/>
  <c r="AN218" i="14"/>
  <c r="AM218" i="14"/>
  <c r="AL218" i="14"/>
  <c r="AY209" i="14"/>
  <c r="AX206" i="14"/>
  <c r="AX205" i="14"/>
  <c r="AT198" i="14"/>
  <c r="AM198" i="14"/>
  <c r="AX197" i="14"/>
  <c r="AT197" i="14"/>
  <c r="AL194" i="14"/>
  <c r="AL193" i="14"/>
  <c r="AB190" i="14"/>
  <c r="AD189" i="14"/>
  <c r="AB189" i="14"/>
  <c r="AE187" i="14"/>
  <c r="AD187" i="14"/>
  <c r="AB187" i="14"/>
  <c r="S187" i="14"/>
  <c r="R187" i="14"/>
  <c r="Q187" i="14"/>
  <c r="P187" i="14"/>
  <c r="O187" i="14"/>
  <c r="N187" i="14"/>
  <c r="M187" i="14"/>
  <c r="L187" i="14"/>
  <c r="K187" i="14"/>
  <c r="BD185" i="14"/>
  <c r="BB185" i="14"/>
  <c r="AY185" i="14"/>
  <c r="AU185" i="14"/>
  <c r="AQ185" i="14"/>
  <c r="AM185" i="14"/>
  <c r="BD184" i="14"/>
  <c r="BB184" i="14"/>
  <c r="AW184" i="14"/>
  <c r="BB180" i="14"/>
  <c r="BB187" i="14" s="1"/>
  <c r="AY180" i="14"/>
  <c r="AY179" i="14" s="1"/>
  <c r="AU180" i="14"/>
  <c r="AQ180" i="14"/>
  <c r="AM180" i="14"/>
  <c r="BD179" i="14"/>
  <c r="AM179" i="14"/>
  <c r="BF177" i="14"/>
  <c r="BE177" i="14"/>
  <c r="BD177" i="14"/>
  <c r="BC177" i="14"/>
  <c r="BA177" i="14"/>
  <c r="AZ177" i="14"/>
  <c r="AY177" i="14"/>
  <c r="AX177" i="14"/>
  <c r="AW177" i="14"/>
  <c r="AV177" i="14"/>
  <c r="AQ210" i="14" s="1"/>
  <c r="AU177" i="14"/>
  <c r="AT177" i="14"/>
  <c r="AS177" i="14"/>
  <c r="AS185" i="14" s="1"/>
  <c r="AR177" i="14"/>
  <c r="AR185" i="14" s="1"/>
  <c r="AQ177" i="14"/>
  <c r="AP177" i="14"/>
  <c r="AO177" i="14"/>
  <c r="AO185" i="14" s="1"/>
  <c r="AN177" i="14"/>
  <c r="AN185" i="14" s="1"/>
  <c r="AM177" i="14"/>
  <c r="AL177" i="14"/>
  <c r="BF176" i="14"/>
  <c r="BF180" i="14" s="1"/>
  <c r="BE176" i="14"/>
  <c r="AZ209" i="14" s="1"/>
  <c r="BD176" i="14"/>
  <c r="BD180" i="14" s="1"/>
  <c r="BD178" i="14" s="1"/>
  <c r="BC176" i="14"/>
  <c r="BA176" i="14"/>
  <c r="AZ176" i="14"/>
  <c r="AY176" i="14"/>
  <c r="AY184" i="14" s="1"/>
  <c r="AX176" i="14"/>
  <c r="AW176" i="14"/>
  <c r="AV176" i="14"/>
  <c r="AQ209" i="14" s="1"/>
  <c r="AU176" i="14"/>
  <c r="AU184" i="14" s="1"/>
  <c r="AT176" i="14"/>
  <c r="AS176" i="14"/>
  <c r="AS184" i="14" s="1"/>
  <c r="AR176" i="14"/>
  <c r="AQ176" i="14"/>
  <c r="AQ184" i="14" s="1"/>
  <c r="AP176" i="14"/>
  <c r="AO176" i="14"/>
  <c r="AN176" i="14"/>
  <c r="AN184" i="14" s="1"/>
  <c r="AM176" i="14"/>
  <c r="AM184" i="14" s="1"/>
  <c r="AL176" i="14"/>
  <c r="BC170" i="14"/>
  <c r="BC168" i="14"/>
  <c r="BB168" i="14"/>
  <c r="AX168" i="14"/>
  <c r="AT168" i="14"/>
  <c r="AP168" i="14"/>
  <c r="AL168" i="14"/>
  <c r="BB167" i="14"/>
  <c r="BA167" i="14"/>
  <c r="AZ167" i="14"/>
  <c r="BC163" i="14"/>
  <c r="BB163" i="14"/>
  <c r="AX163" i="14"/>
  <c r="AX170" i="14" s="1"/>
  <c r="AS163" i="14"/>
  <c r="AP163" i="14"/>
  <c r="AL163" i="14"/>
  <c r="AL170" i="14" s="1"/>
  <c r="BC162" i="14"/>
  <c r="AP162" i="14"/>
  <c r="BC161" i="14"/>
  <c r="AS161" i="14"/>
  <c r="BF160" i="14"/>
  <c r="BE160" i="14"/>
  <c r="BD160" i="14"/>
  <c r="BD168" i="14" s="1"/>
  <c r="BC160" i="14"/>
  <c r="BA160" i="14"/>
  <c r="AZ160" i="14"/>
  <c r="AY160" i="14"/>
  <c r="AX160" i="14"/>
  <c r="AW160" i="14"/>
  <c r="AV160" i="14"/>
  <c r="AU160" i="14"/>
  <c r="AU168" i="14" s="1"/>
  <c r="AT160" i="14"/>
  <c r="AS160" i="14"/>
  <c r="AR160" i="14"/>
  <c r="AQ160" i="14"/>
  <c r="AP160" i="14"/>
  <c r="AO160" i="14"/>
  <c r="AN160" i="14"/>
  <c r="AM160" i="14"/>
  <c r="AM168" i="14" s="1"/>
  <c r="AL160" i="14"/>
  <c r="BF159" i="14"/>
  <c r="BE159" i="14"/>
  <c r="BE167" i="14" s="1"/>
  <c r="BD159" i="14"/>
  <c r="BD167" i="14" s="1"/>
  <c r="BC159" i="14"/>
  <c r="BC167" i="14" s="1"/>
  <c r="BA159" i="14"/>
  <c r="AZ159" i="14"/>
  <c r="AZ163" i="14" s="1"/>
  <c r="AZ170" i="14" s="1"/>
  <c r="AY159" i="14"/>
  <c r="AY167" i="14" s="1"/>
  <c r="AX159" i="14"/>
  <c r="AW159" i="14"/>
  <c r="AV159" i="14"/>
  <c r="AU159" i="14"/>
  <c r="AT159" i="14"/>
  <c r="AT167" i="14" s="1"/>
  <c r="AS159" i="14"/>
  <c r="AS167" i="14" s="1"/>
  <c r="AR159" i="14"/>
  <c r="AQ159" i="14"/>
  <c r="AP159" i="14"/>
  <c r="AP167" i="14" s="1"/>
  <c r="AO159" i="14"/>
  <c r="AO163" i="14" s="1"/>
  <c r="AL207" i="14" s="1"/>
  <c r="AN159" i="14"/>
  <c r="AM159" i="14"/>
  <c r="AM167" i="14" s="1"/>
  <c r="AL159" i="14"/>
  <c r="AL167" i="14" s="1"/>
  <c r="AV152" i="14"/>
  <c r="AU152" i="14"/>
  <c r="AM152" i="14"/>
  <c r="AW151" i="14"/>
  <c r="AV151" i="14"/>
  <c r="AU151" i="14"/>
  <c r="AQ151" i="14"/>
  <c r="AO151" i="14"/>
  <c r="AN151" i="14"/>
  <c r="AM151" i="14"/>
  <c r="AL151" i="14"/>
  <c r="AW150" i="14"/>
  <c r="AV150" i="14"/>
  <c r="AU150" i="14"/>
  <c r="AO150" i="14"/>
  <c r="AN150" i="14"/>
  <c r="AM150" i="14"/>
  <c r="AL150" i="14"/>
  <c r="AW147" i="14"/>
  <c r="AV147" i="14"/>
  <c r="AU147" i="14"/>
  <c r="AT147" i="14"/>
  <c r="AS147" i="14"/>
  <c r="AR147" i="14"/>
  <c r="AQ147" i="14"/>
  <c r="AP147" i="14"/>
  <c r="AO147" i="14"/>
  <c r="AN147" i="14"/>
  <c r="AM147" i="14"/>
  <c r="AL147" i="14"/>
  <c r="AW146" i="14"/>
  <c r="AV146" i="14"/>
  <c r="AU146" i="14"/>
  <c r="AT146" i="14"/>
  <c r="AS146" i="14"/>
  <c r="AR146" i="14"/>
  <c r="AQ146" i="14"/>
  <c r="AP146" i="14"/>
  <c r="AO146" i="14"/>
  <c r="AN146" i="14"/>
  <c r="AM146" i="14"/>
  <c r="AL146" i="14"/>
  <c r="AM140" i="14"/>
  <c r="AZ139" i="14"/>
  <c r="AQ139" i="14"/>
  <c r="AO139" i="14"/>
  <c r="AN139" i="14"/>
  <c r="AM139" i="14"/>
  <c r="AL139" i="14"/>
  <c r="BA138" i="14"/>
  <c r="AY138" i="14"/>
  <c r="AS138" i="14"/>
  <c r="AO138" i="14"/>
  <c r="AN138" i="14"/>
  <c r="AM138" i="14"/>
  <c r="AL138" i="14"/>
  <c r="AW135" i="14"/>
  <c r="AV135" i="14"/>
  <c r="AU135" i="14"/>
  <c r="AT135" i="14"/>
  <c r="AS135" i="14"/>
  <c r="AR135" i="14"/>
  <c r="AQ135" i="14"/>
  <c r="AP135" i="14"/>
  <c r="AO135" i="14"/>
  <c r="AN135" i="14"/>
  <c r="AM135" i="14"/>
  <c r="AL135" i="14"/>
  <c r="AW134" i="14"/>
  <c r="AV134" i="14"/>
  <c r="AU134" i="14"/>
  <c r="AT134" i="14"/>
  <c r="AS134" i="14"/>
  <c r="AR134" i="14"/>
  <c r="AQ134" i="14"/>
  <c r="AP134" i="14"/>
  <c r="AO134" i="14"/>
  <c r="AN134" i="14"/>
  <c r="AM134" i="14"/>
  <c r="AL134" i="14"/>
  <c r="BA127" i="14"/>
  <c r="AZ127" i="14"/>
  <c r="AY127" i="14"/>
  <c r="AQ127" i="14"/>
  <c r="AM127" i="14"/>
  <c r="BE125" i="14"/>
  <c r="BB125" i="14"/>
  <c r="BA125" i="14"/>
  <c r="AZ125" i="14"/>
  <c r="AY125" i="14"/>
  <c r="AV125" i="14"/>
  <c r="AU125" i="14"/>
  <c r="AT125" i="14"/>
  <c r="AS125" i="14"/>
  <c r="AR125" i="14"/>
  <c r="AQ125" i="14"/>
  <c r="AP125" i="14"/>
  <c r="AO125" i="14"/>
  <c r="AN125" i="14"/>
  <c r="AM125" i="14"/>
  <c r="AL125" i="14"/>
  <c r="BB124" i="14"/>
  <c r="BA124" i="14"/>
  <c r="AZ124" i="14"/>
  <c r="AY124" i="14"/>
  <c r="AX124" i="14"/>
  <c r="AT124" i="14"/>
  <c r="AS124" i="14"/>
  <c r="AR124" i="14"/>
  <c r="AQ124" i="14"/>
  <c r="AP124" i="14"/>
  <c r="AO124" i="14"/>
  <c r="AN124" i="14"/>
  <c r="AM124" i="14"/>
  <c r="AL124" i="14"/>
  <c r="BA123" i="14"/>
  <c r="AZ123" i="14"/>
  <c r="AN123" i="14"/>
  <c r="AZ121" i="14"/>
  <c r="AY121" i="14"/>
  <c r="AR121" i="14"/>
  <c r="BB120" i="14"/>
  <c r="BA120" i="14"/>
  <c r="BA121" i="14" s="1"/>
  <c r="AW120" i="14"/>
  <c r="AY123" i="14" s="1"/>
  <c r="AT120" i="14"/>
  <c r="AS120" i="14"/>
  <c r="AR120" i="14"/>
  <c r="AQ120" i="14"/>
  <c r="AQ121" i="14" s="1"/>
  <c r="AP120" i="14"/>
  <c r="AP127" i="14" s="1"/>
  <c r="AO120" i="14"/>
  <c r="AN120" i="14"/>
  <c r="AM120" i="14"/>
  <c r="AM121" i="14" s="1"/>
  <c r="AL120" i="14"/>
  <c r="AL119" i="14" s="1"/>
  <c r="BA119" i="14"/>
  <c r="AZ119" i="14"/>
  <c r="AY119" i="14"/>
  <c r="AV119" i="14"/>
  <c r="AT119" i="14"/>
  <c r="AQ119" i="14"/>
  <c r="AN119" i="14"/>
  <c r="AM119" i="14"/>
  <c r="BA118" i="14"/>
  <c r="AZ118" i="14"/>
  <c r="AY118" i="14"/>
  <c r="AV118" i="14"/>
  <c r="AR118" i="14"/>
  <c r="AQ118" i="14"/>
  <c r="AN118" i="14"/>
  <c r="AM118" i="14"/>
  <c r="BG117" i="14"/>
  <c r="BF117" i="14"/>
  <c r="BF125" i="14" s="1"/>
  <c r="BE117" i="14"/>
  <c r="BD117" i="14"/>
  <c r="BC117" i="14"/>
  <c r="AX117" i="14"/>
  <c r="AS139" i="14" s="1"/>
  <c r="AW117" i="14"/>
  <c r="AV117" i="14"/>
  <c r="AU139" i="14" s="1"/>
  <c r="AU117" i="14"/>
  <c r="BG116" i="14"/>
  <c r="BG124" i="14" s="1"/>
  <c r="BF116" i="14"/>
  <c r="BF124" i="14" s="1"/>
  <c r="BE116" i="14"/>
  <c r="BD116" i="14"/>
  <c r="BC116" i="14"/>
  <c r="AX116" i="14"/>
  <c r="AT150" i="14" s="1"/>
  <c r="AW116" i="14"/>
  <c r="AV116" i="14"/>
  <c r="AV120" i="14" s="1"/>
  <c r="AU116" i="14"/>
  <c r="AU124" i="14" s="1"/>
  <c r="BA110" i="14"/>
  <c r="AW110" i="14"/>
  <c r="BB108" i="14"/>
  <c r="BA108" i="14"/>
  <c r="AZ108" i="14"/>
  <c r="AY108" i="14"/>
  <c r="AX108" i="14"/>
  <c r="AW108" i="14"/>
  <c r="AV108" i="14"/>
  <c r="AU108" i="14"/>
  <c r="AT108" i="14"/>
  <c r="AS108" i="14"/>
  <c r="AR108" i="14"/>
  <c r="AQ108" i="14"/>
  <c r="AP108" i="14"/>
  <c r="AO108" i="14"/>
  <c r="AN108" i="14"/>
  <c r="AM108" i="14"/>
  <c r="AL108" i="14"/>
  <c r="BB107" i="14"/>
  <c r="BA107" i="14"/>
  <c r="AZ107" i="14"/>
  <c r="AY107" i="14"/>
  <c r="AX107" i="14"/>
  <c r="AW107" i="14"/>
  <c r="AV107" i="14"/>
  <c r="AU107" i="14"/>
  <c r="AT107" i="14"/>
  <c r="AS107" i="14"/>
  <c r="AR107" i="14"/>
  <c r="AQ107" i="14"/>
  <c r="AP107" i="14"/>
  <c r="AO107" i="14"/>
  <c r="AN107" i="14"/>
  <c r="AM107" i="14"/>
  <c r="AL107" i="14"/>
  <c r="AR104" i="14"/>
  <c r="AA104" i="14"/>
  <c r="BB103" i="14"/>
  <c r="BA103" i="14"/>
  <c r="AZ103" i="14"/>
  <c r="AY103" i="14"/>
  <c r="AY104" i="14" s="1"/>
  <c r="AX103" i="14"/>
  <c r="AX104" i="14" s="1"/>
  <c r="AW103" i="14"/>
  <c r="AV103" i="14"/>
  <c r="AV110" i="14" s="1"/>
  <c r="AU103" i="14"/>
  <c r="AT103" i="14"/>
  <c r="AS103" i="14"/>
  <c r="AR103" i="14"/>
  <c r="AR102" i="14" s="1"/>
  <c r="AQ103" i="14"/>
  <c r="AN148" i="14" s="1"/>
  <c r="AP103" i="14"/>
  <c r="AO103" i="14"/>
  <c r="AN103" i="14"/>
  <c r="AN102" i="14" s="1"/>
  <c r="AM103" i="14"/>
  <c r="AM104" i="14" s="1"/>
  <c r="AL103" i="14"/>
  <c r="AL104" i="14" s="1"/>
  <c r="AA103" i="14"/>
  <c r="D103" i="14"/>
  <c r="F103" i="14" s="1"/>
  <c r="BB102" i="14"/>
  <c r="BA102" i="14"/>
  <c r="AW102" i="14"/>
  <c r="AU102" i="14"/>
  <c r="AO102" i="14"/>
  <c r="F102" i="14"/>
  <c r="BA101" i="14"/>
  <c r="AW101" i="14"/>
  <c r="AS101" i="14"/>
  <c r="AQ101" i="14"/>
  <c r="AO101" i="14"/>
  <c r="F101" i="14"/>
  <c r="BG100" i="14"/>
  <c r="BF100" i="14"/>
  <c r="BF108" i="14" s="1"/>
  <c r="BE100" i="14"/>
  <c r="BD100" i="14"/>
  <c r="BC100" i="14"/>
  <c r="F100" i="14"/>
  <c r="BG99" i="14"/>
  <c r="BF99" i="14"/>
  <c r="BE99" i="14"/>
  <c r="AZ146" i="14" s="1"/>
  <c r="BD99" i="14"/>
  <c r="BC99" i="14"/>
  <c r="F99" i="14"/>
  <c r="F98" i="14"/>
  <c r="F97" i="14"/>
  <c r="AF96" i="14"/>
  <c r="AE96" i="14"/>
  <c r="AC96" i="14"/>
  <c r="AA96" i="14"/>
  <c r="Z96" i="14"/>
  <c r="Y96" i="14"/>
  <c r="X96" i="14"/>
  <c r="W96" i="14"/>
  <c r="V96" i="14"/>
  <c r="U96" i="14"/>
  <c r="T96" i="14"/>
  <c r="S96" i="14"/>
  <c r="R96" i="14"/>
  <c r="Q96" i="14"/>
  <c r="M96" i="14"/>
  <c r="F96" i="14"/>
  <c r="AF95" i="14"/>
  <c r="AC95" i="14"/>
  <c r="AA95" i="14"/>
  <c r="Z95" i="14"/>
  <c r="Y95" i="14"/>
  <c r="X95" i="14"/>
  <c r="W95" i="14"/>
  <c r="V95" i="14"/>
  <c r="U95" i="14"/>
  <c r="T95" i="14"/>
  <c r="S95" i="14"/>
  <c r="Q95" i="14"/>
  <c r="M95" i="14"/>
  <c r="F95" i="14"/>
  <c r="AE94" i="14"/>
  <c r="AD94" i="14"/>
  <c r="AD96" i="14" s="1"/>
  <c r="AB94" i="14"/>
  <c r="R94" i="14"/>
  <c r="R95" i="14" s="1"/>
  <c r="Q94" i="14"/>
  <c r="P94" i="14"/>
  <c r="P96" i="14" s="1"/>
  <c r="O94" i="14"/>
  <c r="N94" i="14"/>
  <c r="N96" i="14" s="1"/>
  <c r="M94" i="14"/>
  <c r="L94" i="14"/>
  <c r="L96" i="14" s="1"/>
  <c r="K94" i="14"/>
  <c r="F94" i="14"/>
  <c r="F93" i="14"/>
  <c r="F92" i="14"/>
  <c r="F91" i="14"/>
  <c r="AW90" i="14"/>
  <c r="AV90" i="14"/>
  <c r="AU90" i="14"/>
  <c r="AO90" i="14"/>
  <c r="AN90" i="14"/>
  <c r="AM90" i="14"/>
  <c r="AL90" i="14"/>
  <c r="AF90" i="14"/>
  <c r="F90" i="14"/>
  <c r="AW89" i="14"/>
  <c r="AV89" i="14"/>
  <c r="AU89" i="14"/>
  <c r="AO89" i="14"/>
  <c r="AN89" i="14"/>
  <c r="AM89" i="14"/>
  <c r="AL89" i="14"/>
  <c r="AF89" i="14"/>
  <c r="AE89" i="14"/>
  <c r="F89" i="14"/>
  <c r="AW86" i="14"/>
  <c r="AV86" i="14"/>
  <c r="AU86" i="14"/>
  <c r="AO86" i="14"/>
  <c r="AN86" i="14"/>
  <c r="AM86" i="14"/>
  <c r="AL86" i="14"/>
  <c r="AW85" i="14"/>
  <c r="AV85" i="14"/>
  <c r="AU85" i="14"/>
  <c r="AO85" i="14"/>
  <c r="AN85" i="14"/>
  <c r="AM85" i="14"/>
  <c r="AL85" i="14"/>
  <c r="F85" i="14"/>
  <c r="F84" i="14"/>
  <c r="F83" i="14"/>
  <c r="F82" i="14"/>
  <c r="F81" i="14"/>
  <c r="AN80" i="14"/>
  <c r="F80" i="14"/>
  <c r="AT79" i="14"/>
  <c r="AP79" i="14"/>
  <c r="AO79" i="14"/>
  <c r="AN79" i="14"/>
  <c r="AM79" i="14"/>
  <c r="AL79" i="14"/>
  <c r="F79" i="14"/>
  <c r="BB78" i="14"/>
  <c r="AT78" i="14"/>
  <c r="AR78" i="14"/>
  <c r="AO78" i="14"/>
  <c r="AN78" i="14"/>
  <c r="AM78" i="14"/>
  <c r="AL78" i="14"/>
  <c r="F78" i="14"/>
  <c r="AU75" i="14"/>
  <c r="AO75" i="14"/>
  <c r="AN75" i="14"/>
  <c r="AM75" i="14"/>
  <c r="AL75" i="14"/>
  <c r="AZ74" i="14"/>
  <c r="AV74" i="14"/>
  <c r="AO74" i="14"/>
  <c r="AN74" i="14"/>
  <c r="AM74" i="14"/>
  <c r="AL74" i="14"/>
  <c r="G73" i="14"/>
  <c r="G72" i="14"/>
  <c r="D72" i="14"/>
  <c r="G71" i="14"/>
  <c r="D71" i="14"/>
  <c r="BG70" i="14"/>
  <c r="AQ70" i="14"/>
  <c r="G70" i="14"/>
  <c r="D70" i="14"/>
  <c r="G69" i="14"/>
  <c r="D69" i="14"/>
  <c r="BG68" i="14"/>
  <c r="BC68" i="14"/>
  <c r="BB68" i="14"/>
  <c r="BA68" i="14"/>
  <c r="AZ68" i="14"/>
  <c r="AY68" i="14"/>
  <c r="AU68" i="14"/>
  <c r="AT68" i="14"/>
  <c r="AS68" i="14"/>
  <c r="AR68" i="14"/>
  <c r="AQ68" i="14"/>
  <c r="AP68" i="14"/>
  <c r="AO68" i="14"/>
  <c r="AN68" i="14"/>
  <c r="AM68" i="14"/>
  <c r="AL68" i="14"/>
  <c r="G68" i="14"/>
  <c r="D68" i="14"/>
  <c r="BG67" i="14"/>
  <c r="BB67" i="14"/>
  <c r="BA67" i="14"/>
  <c r="AZ67" i="14"/>
  <c r="AY67" i="14"/>
  <c r="AT67" i="14"/>
  <c r="AS67" i="14"/>
  <c r="AR67" i="14"/>
  <c r="AQ67" i="14"/>
  <c r="AP67" i="14"/>
  <c r="AO67" i="14"/>
  <c r="AN67" i="14"/>
  <c r="AM67" i="14"/>
  <c r="AL67" i="14"/>
  <c r="G67" i="14"/>
  <c r="D67" i="14"/>
  <c r="AZ66" i="14"/>
  <c r="G66" i="14"/>
  <c r="D66" i="14"/>
  <c r="BH65" i="14"/>
  <c r="G65" i="14"/>
  <c r="D65" i="14"/>
  <c r="BG64" i="14"/>
  <c r="G64" i="14"/>
  <c r="D64" i="14"/>
  <c r="BB63" i="14"/>
  <c r="BA63" i="14"/>
  <c r="AV91" i="14" s="1"/>
  <c r="AZ63" i="14"/>
  <c r="AY63" i="14"/>
  <c r="AY70" i="14" s="1"/>
  <c r="AT63" i="14"/>
  <c r="AS63" i="14"/>
  <c r="AS64" i="14" s="1"/>
  <c r="AR63" i="14"/>
  <c r="AR70" i="14" s="1"/>
  <c r="AQ63" i="14"/>
  <c r="AP63" i="14"/>
  <c r="AO63" i="14"/>
  <c r="AO64" i="14" s="1"/>
  <c r="AN63" i="14"/>
  <c r="AN70" i="14" s="1"/>
  <c r="AM63" i="14"/>
  <c r="AL63" i="14"/>
  <c r="G63" i="14"/>
  <c r="D63" i="14"/>
  <c r="BG62" i="14"/>
  <c r="BB62" i="14"/>
  <c r="BA62" i="14"/>
  <c r="AZ62" i="14"/>
  <c r="AY62" i="14"/>
  <c r="AT62" i="14"/>
  <c r="AS62" i="14"/>
  <c r="AR62" i="14"/>
  <c r="AQ62" i="14"/>
  <c r="AP62" i="14"/>
  <c r="AO62" i="14"/>
  <c r="AN62" i="14"/>
  <c r="AM62" i="14"/>
  <c r="AL62" i="14"/>
  <c r="G62" i="14"/>
  <c r="D62" i="14"/>
  <c r="BG61" i="14"/>
  <c r="BB61" i="14"/>
  <c r="BA61" i="14"/>
  <c r="AZ61" i="14"/>
  <c r="AY61" i="14"/>
  <c r="AT61" i="14"/>
  <c r="AS61" i="14"/>
  <c r="AR61" i="14"/>
  <c r="AQ61" i="14"/>
  <c r="AP61" i="14"/>
  <c r="AO61" i="14"/>
  <c r="AN61" i="14"/>
  <c r="AM61" i="14"/>
  <c r="AL61" i="14"/>
  <c r="G61" i="14"/>
  <c r="D61" i="14"/>
  <c r="BF60" i="14"/>
  <c r="BA79" i="14" s="1"/>
  <c r="BE60" i="14"/>
  <c r="BE68" i="14" s="1"/>
  <c r="BD60" i="14"/>
  <c r="BC60" i="14"/>
  <c r="AX60" i="14"/>
  <c r="AS90" i="14" s="1"/>
  <c r="AW60" i="14"/>
  <c r="AV79" i="14" s="1"/>
  <c r="AV60" i="14"/>
  <c r="AU79" i="14" s="1"/>
  <c r="AU60" i="14"/>
  <c r="AP90" i="14" s="1"/>
  <c r="G60" i="14"/>
  <c r="D60" i="14"/>
  <c r="BF59" i="14"/>
  <c r="BF67" i="14" s="1"/>
  <c r="BE59" i="14"/>
  <c r="BD59" i="14"/>
  <c r="BC59" i="14"/>
  <c r="AX59" i="14"/>
  <c r="AS78" i="14" s="1"/>
  <c r="AW59" i="14"/>
  <c r="AV78" i="14" s="1"/>
  <c r="AV59" i="14"/>
  <c r="AU59" i="14"/>
  <c r="AP89" i="14" s="1"/>
  <c r="G59" i="14"/>
  <c r="D59" i="14"/>
  <c r="G55" i="14"/>
  <c r="D55" i="14"/>
  <c r="G54" i="14"/>
  <c r="D54" i="14"/>
  <c r="G53" i="14"/>
  <c r="D53" i="14"/>
  <c r="G52" i="14"/>
  <c r="G51" i="14"/>
  <c r="BG50" i="14"/>
  <c r="G50" i="14"/>
  <c r="G49" i="14"/>
  <c r="D49" i="14"/>
  <c r="BG48" i="14"/>
  <c r="BD48" i="14"/>
  <c r="BB48" i="14"/>
  <c r="BA48" i="14"/>
  <c r="AZ48" i="14"/>
  <c r="AY48" i="14"/>
  <c r="AT48" i="14"/>
  <c r="AS48" i="14"/>
  <c r="AR48" i="14"/>
  <c r="AQ48" i="14"/>
  <c r="AP48" i="14"/>
  <c r="AO48" i="14"/>
  <c r="AN48" i="14"/>
  <c r="AM48" i="14"/>
  <c r="AL48" i="14"/>
  <c r="G48" i="14"/>
  <c r="D48" i="14"/>
  <c r="BG47" i="14"/>
  <c r="BB47" i="14"/>
  <c r="BA47" i="14"/>
  <c r="AZ47" i="14"/>
  <c r="AY47" i="14"/>
  <c r="AV47" i="14"/>
  <c r="AT47" i="14"/>
  <c r="AS47" i="14"/>
  <c r="AR47" i="14"/>
  <c r="AQ47" i="14"/>
  <c r="AP47" i="14"/>
  <c r="AO47" i="14"/>
  <c r="AN47" i="14"/>
  <c r="AM47" i="14"/>
  <c r="AL47" i="14"/>
  <c r="DX46" i="14"/>
  <c r="DX44" i="14"/>
  <c r="BG44" i="14"/>
  <c r="AS44" i="14"/>
  <c r="DX43" i="14"/>
  <c r="BB43" i="14"/>
  <c r="BB44" i="14" s="1"/>
  <c r="BA43" i="14"/>
  <c r="BA44" i="14" s="1"/>
  <c r="AZ43" i="14"/>
  <c r="AZ44" i="14" s="1"/>
  <c r="AY43" i="14"/>
  <c r="AY41" i="14" s="1"/>
  <c r="AT43" i="14"/>
  <c r="AT50" i="14" s="1"/>
  <c r="AS43" i="14"/>
  <c r="AR43" i="14"/>
  <c r="AQ43" i="14"/>
  <c r="AP43" i="14"/>
  <c r="AL87" i="14" s="1"/>
  <c r="AO43" i="14"/>
  <c r="AO50" i="14" s="1"/>
  <c r="AN43" i="14"/>
  <c r="AM43" i="14"/>
  <c r="AM41" i="14" s="1"/>
  <c r="AL43" i="14"/>
  <c r="AL50" i="14" s="1"/>
  <c r="DX42" i="14"/>
  <c r="BG42" i="14"/>
  <c r="BA42" i="14"/>
  <c r="AY42" i="14"/>
  <c r="AT42" i="14"/>
  <c r="AS42" i="14"/>
  <c r="AQ42" i="14"/>
  <c r="AP42" i="14"/>
  <c r="AO42" i="14"/>
  <c r="AM42" i="14"/>
  <c r="AL42" i="14"/>
  <c r="DX41" i="14"/>
  <c r="BG41" i="14"/>
  <c r="AT41" i="14"/>
  <c r="AP41" i="14"/>
  <c r="AL41" i="14"/>
  <c r="DX40" i="14"/>
  <c r="BF40" i="14"/>
  <c r="BB86" i="14" s="1"/>
  <c r="BE40" i="14"/>
  <c r="BD40" i="14"/>
  <c r="AY75" i="14" s="1"/>
  <c r="BC40" i="14"/>
  <c r="BB75" i="14" s="1"/>
  <c r="AX40" i="14"/>
  <c r="AW40" i="14"/>
  <c r="AV40" i="14"/>
  <c r="AQ86" i="14" s="1"/>
  <c r="AU40" i="14"/>
  <c r="AT75" i="14" s="1"/>
  <c r="DX39" i="14"/>
  <c r="BF39" i="14"/>
  <c r="BE39" i="14"/>
  <c r="BE47" i="14" s="1"/>
  <c r="BD39" i="14"/>
  <c r="AY74" i="14" s="1"/>
  <c r="BC39" i="14"/>
  <c r="AX74" i="14" s="1"/>
  <c r="AX39" i="14"/>
  <c r="AW39" i="14"/>
  <c r="AR85" i="14" s="1"/>
  <c r="AV39" i="14"/>
  <c r="AU74" i="14" s="1"/>
  <c r="AU39" i="14"/>
  <c r="AE39" i="14"/>
  <c r="AD39" i="14"/>
  <c r="AD40" i="14" s="1"/>
  <c r="AD42" i="14" s="1"/>
  <c r="AC39" i="14"/>
  <c r="AB39" i="14"/>
  <c r="AA39" i="14"/>
  <c r="Z39" i="14"/>
  <c r="Y39" i="14"/>
  <c r="X39" i="14"/>
  <c r="W39" i="14"/>
  <c r="V39" i="14"/>
  <c r="U39" i="14"/>
  <c r="T39" i="14"/>
  <c r="S39" i="14"/>
  <c r="R39" i="14"/>
  <c r="Q39" i="14"/>
  <c r="P39" i="14"/>
  <c r="O39" i="14"/>
  <c r="N39" i="14"/>
  <c r="M39" i="14"/>
  <c r="L39" i="14"/>
  <c r="DX38" i="14"/>
  <c r="DX37" i="14"/>
  <c r="DX36" i="14"/>
  <c r="DX35" i="14"/>
  <c r="DX34" i="14"/>
  <c r="DX33" i="14"/>
  <c r="AD33" i="14"/>
  <c r="DX32" i="14"/>
  <c r="BB32" i="14"/>
  <c r="BA32" i="14"/>
  <c r="AT32" i="14"/>
  <c r="AS32" i="14"/>
  <c r="AR32" i="14"/>
  <c r="AQ32" i="14"/>
  <c r="AP32" i="14"/>
  <c r="AO32" i="14"/>
  <c r="AN32" i="14"/>
  <c r="AM32" i="14"/>
  <c r="AL32" i="14"/>
  <c r="AF32" i="14"/>
  <c r="BB31" i="14"/>
  <c r="BA31" i="14"/>
  <c r="AS31" i="14"/>
  <c r="AR31" i="14"/>
  <c r="AQ31" i="14"/>
  <c r="AP31" i="14"/>
  <c r="AO31" i="14"/>
  <c r="AN31" i="14"/>
  <c r="AM31" i="14"/>
  <c r="AL31" i="14"/>
  <c r="AF31" i="14"/>
  <c r="AD31" i="14"/>
  <c r="N31" i="14"/>
  <c r="AF30" i="14"/>
  <c r="AE30" i="14"/>
  <c r="AD30" i="14"/>
  <c r="AC30" i="14"/>
  <c r="AB30" i="14"/>
  <c r="AA30" i="14"/>
  <c r="Z30" i="14"/>
  <c r="Y30" i="14"/>
  <c r="X30" i="14"/>
  <c r="W30" i="14"/>
  <c r="V30" i="14"/>
  <c r="U30" i="14"/>
  <c r="T30" i="14"/>
  <c r="S30" i="14"/>
  <c r="R30" i="14"/>
  <c r="Q30" i="14"/>
  <c r="P30" i="14"/>
  <c r="O30" i="14"/>
  <c r="N30" i="14"/>
  <c r="M30" i="14"/>
  <c r="L30" i="14"/>
  <c r="DX28" i="14"/>
  <c r="DQ28" i="14"/>
  <c r="BB28" i="14"/>
  <c r="BA28" i="14"/>
  <c r="AX28" i="14"/>
  <c r="AV28" i="14"/>
  <c r="AU28" i="14"/>
  <c r="AT28" i="14"/>
  <c r="AS28" i="14"/>
  <c r="AR28" i="14"/>
  <c r="AQ28" i="14"/>
  <c r="AP28" i="14"/>
  <c r="AO28" i="14"/>
  <c r="AN28" i="14"/>
  <c r="AM28" i="14"/>
  <c r="AL28" i="14"/>
  <c r="AF28" i="14"/>
  <c r="DW27" i="14"/>
  <c r="DQ27" i="14"/>
  <c r="BB27" i="14"/>
  <c r="BA27" i="14"/>
  <c r="AV27" i="14"/>
  <c r="AU27" i="14"/>
  <c r="AT27" i="14"/>
  <c r="AS27" i="14"/>
  <c r="AR27" i="14"/>
  <c r="AQ27" i="14"/>
  <c r="AP27" i="14"/>
  <c r="AO27" i="14"/>
  <c r="AN27" i="14"/>
  <c r="AM27" i="14"/>
  <c r="AL27" i="14"/>
  <c r="AF27" i="14"/>
  <c r="AD27" i="14"/>
  <c r="AB27" i="14"/>
  <c r="R27" i="14"/>
  <c r="N27" i="14"/>
  <c r="DW26" i="14"/>
  <c r="DQ26" i="14"/>
  <c r="DW25" i="14"/>
  <c r="DQ25" i="14"/>
  <c r="AE25" i="14"/>
  <c r="BB33" i="14" s="1"/>
  <c r="AD25" i="14"/>
  <c r="AD28" i="14" s="1"/>
  <c r="AB25" i="14"/>
  <c r="AB28" i="14" s="1"/>
  <c r="Z25" i="14"/>
  <c r="W25" i="14"/>
  <c r="W31" i="14" s="1"/>
  <c r="V25" i="14"/>
  <c r="V28" i="14" s="1"/>
  <c r="U25" i="14"/>
  <c r="T25" i="14"/>
  <c r="T28" i="14" s="1"/>
  <c r="S25" i="14"/>
  <c r="S31" i="14" s="1"/>
  <c r="R25" i="14"/>
  <c r="Q25" i="14"/>
  <c r="Q28" i="14" s="1"/>
  <c r="P25" i="14"/>
  <c r="O25" i="14"/>
  <c r="N25" i="14"/>
  <c r="AL33" i="14" s="1"/>
  <c r="M25" i="14"/>
  <c r="M28" i="14" s="1"/>
  <c r="L25" i="14"/>
  <c r="L28" i="14" s="1"/>
  <c r="K25" i="14"/>
  <c r="K31" i="14" s="1"/>
  <c r="DW24" i="14"/>
  <c r="DQ24" i="14"/>
  <c r="AC24" i="14"/>
  <c r="AZ32" i="14" s="1"/>
  <c r="AA24" i="14"/>
  <c r="Y24" i="14"/>
  <c r="DW23" i="14"/>
  <c r="DQ23" i="14"/>
  <c r="DR23" i="14" s="1"/>
  <c r="AC23" i="14"/>
  <c r="AZ31" i="14" s="1"/>
  <c r="AA23" i="14"/>
  <c r="AW20" i="14" s="1"/>
  <c r="Y23" i="14"/>
  <c r="AV31" i="14" s="1"/>
  <c r="X23" i="14"/>
  <c r="AU31" i="14" s="1"/>
  <c r="DW22" i="14"/>
  <c r="DQ22" i="14"/>
  <c r="BB22" i="14"/>
  <c r="AZ22" i="14"/>
  <c r="AR22" i="14"/>
  <c r="AN22" i="14"/>
  <c r="AM22" i="14"/>
  <c r="DW21" i="14"/>
  <c r="DQ21" i="14"/>
  <c r="BB21" i="14"/>
  <c r="BA21" i="14"/>
  <c r="AZ21" i="14"/>
  <c r="AX21" i="14"/>
  <c r="AW21" i="14"/>
  <c r="AV21" i="14"/>
  <c r="AU21" i="14"/>
  <c r="AT21" i="14"/>
  <c r="AS21" i="14"/>
  <c r="AR21" i="14"/>
  <c r="AQ21" i="14"/>
  <c r="AP21" i="14"/>
  <c r="AO21" i="14"/>
  <c r="AN21" i="14"/>
  <c r="AM21" i="14"/>
  <c r="AL21" i="14"/>
  <c r="AE21" i="14"/>
  <c r="BB20" i="14"/>
  <c r="BA20" i="14"/>
  <c r="AZ20" i="14"/>
  <c r="AY20" i="14"/>
  <c r="AV20" i="14"/>
  <c r="AU20" i="14"/>
  <c r="AS20" i="14"/>
  <c r="AR20" i="14"/>
  <c r="AQ20" i="14"/>
  <c r="AP20" i="14"/>
  <c r="AO20" i="14"/>
  <c r="AN20" i="14"/>
  <c r="AM20" i="14"/>
  <c r="AL20" i="14"/>
  <c r="AF20" i="14"/>
  <c r="AE20" i="14"/>
  <c r="AD20" i="14"/>
  <c r="AC20" i="14"/>
  <c r="AB20" i="14"/>
  <c r="AA20" i="14"/>
  <c r="Z20" i="14"/>
  <c r="Y20" i="14"/>
  <c r="X20" i="14"/>
  <c r="W20" i="14"/>
  <c r="V20" i="14"/>
  <c r="U20" i="14"/>
  <c r="T20" i="14"/>
  <c r="S20" i="14"/>
  <c r="R20" i="14"/>
  <c r="Q20" i="14"/>
  <c r="P20" i="14"/>
  <c r="O20" i="14"/>
  <c r="Z19" i="14"/>
  <c r="AZ18" i="14"/>
  <c r="AF18" i="14"/>
  <c r="BB17" i="14"/>
  <c r="AZ17" i="14"/>
  <c r="AX17" i="14"/>
  <c r="AW17" i="14"/>
  <c r="AV17" i="14"/>
  <c r="AU17" i="14"/>
  <c r="AT17" i="14"/>
  <c r="AS17" i="14"/>
  <c r="AR17" i="14"/>
  <c r="AQ17" i="14"/>
  <c r="AP17" i="14"/>
  <c r="AO17" i="14"/>
  <c r="AN17" i="14"/>
  <c r="AM17" i="14"/>
  <c r="AL17" i="14"/>
  <c r="AF17" i="14"/>
  <c r="AE17" i="14"/>
  <c r="AD17" i="14"/>
  <c r="AC17" i="14"/>
  <c r="AB17" i="14"/>
  <c r="AA17" i="14"/>
  <c r="Z17" i="14"/>
  <c r="Y17" i="14"/>
  <c r="X17" i="14"/>
  <c r="W17" i="14"/>
  <c r="V17" i="14"/>
  <c r="U17" i="14"/>
  <c r="T17" i="14"/>
  <c r="S17" i="14"/>
  <c r="R17" i="14"/>
  <c r="Q17" i="14"/>
  <c r="P17" i="14"/>
  <c r="O17" i="14"/>
  <c r="N17" i="14"/>
  <c r="M17" i="14"/>
  <c r="L17" i="14"/>
  <c r="BB16" i="14"/>
  <c r="AZ16" i="14"/>
  <c r="AY16" i="14"/>
  <c r="AX16" i="14"/>
  <c r="AV16" i="14"/>
  <c r="AU16" i="14"/>
  <c r="AT16" i="14"/>
  <c r="AS16" i="14"/>
  <c r="AR16" i="14"/>
  <c r="AQ16" i="14"/>
  <c r="AP16" i="14"/>
  <c r="AO16" i="14"/>
  <c r="AN16" i="14"/>
  <c r="AM16" i="14"/>
  <c r="AL16" i="14"/>
  <c r="AF15" i="14"/>
  <c r="Z15" i="14"/>
  <c r="X15" i="14"/>
  <c r="R15" i="14"/>
  <c r="L15" i="14"/>
  <c r="AF14" i="14"/>
  <c r="AF13" i="14"/>
  <c r="AE12" i="14"/>
  <c r="AD12" i="14"/>
  <c r="AB12" i="14"/>
  <c r="Z12" i="14"/>
  <c r="Z18" i="14" s="1"/>
  <c r="Y12" i="14"/>
  <c r="X12" i="14"/>
  <c r="X19" i="14" s="1"/>
  <c r="W12" i="14"/>
  <c r="AS18" i="14" s="1"/>
  <c r="V12" i="14"/>
  <c r="U12" i="14"/>
  <c r="T12" i="14"/>
  <c r="T18" i="14" s="1"/>
  <c r="S12" i="14"/>
  <c r="S13" i="14" s="1"/>
  <c r="R12" i="14"/>
  <c r="Q12" i="14"/>
  <c r="P12" i="14"/>
  <c r="P18" i="14" s="1"/>
  <c r="O12" i="14"/>
  <c r="O13" i="14" s="1"/>
  <c r="N12" i="14"/>
  <c r="M12" i="14"/>
  <c r="M15" i="14" s="1"/>
  <c r="L12" i="14"/>
  <c r="L18" i="14" s="1"/>
  <c r="K12" i="14"/>
  <c r="K18" i="14" s="1"/>
  <c r="AC11" i="14"/>
  <c r="AY28" i="14" s="1"/>
  <c r="AA11" i="14"/>
  <c r="AW28" i="14" s="1"/>
  <c r="AC10" i="14"/>
  <c r="AZ27" i="14" s="1"/>
  <c r="AA10" i="14"/>
  <c r="BA16" i="14" s="1"/>
  <c r="BZ4" i="14"/>
  <c r="BV4" i="14"/>
  <c r="BC221" i="14" l="1"/>
  <c r="AB18" i="14"/>
  <c r="AX18" i="14"/>
  <c r="AN33" i="14"/>
  <c r="P27" i="14"/>
  <c r="Z28" i="14"/>
  <c r="Z27" i="14"/>
  <c r="AS29" i="14"/>
  <c r="Z31" i="14"/>
  <c r="AP85" i="14"/>
  <c r="AP74" i="14"/>
  <c r="AT86" i="14"/>
  <c r="AS75" i="14"/>
  <c r="AN50" i="14"/>
  <c r="AN42" i="14"/>
  <c r="AN76" i="14"/>
  <c r="AR42" i="14"/>
  <c r="AR41" i="14"/>
  <c r="AN44" i="14"/>
  <c r="AX48" i="14"/>
  <c r="AY79" i="14"/>
  <c r="AY90" i="14"/>
  <c r="AO70" i="14"/>
  <c r="AS119" i="14"/>
  <c r="AS123" i="14"/>
  <c r="AS118" i="14"/>
  <c r="AS127" i="14"/>
  <c r="AQ193" i="14"/>
  <c r="AU206" i="14"/>
  <c r="AT194" i="14"/>
  <c r="AS170" i="14"/>
  <c r="AY193" i="14"/>
  <c r="AN226" i="14"/>
  <c r="AN222" i="14"/>
  <c r="AY251" i="14"/>
  <c r="AY262" i="14"/>
  <c r="AU253" i="14"/>
  <c r="AZ221" i="14"/>
  <c r="AZ220" i="14"/>
  <c r="AL266" i="14"/>
  <c r="AO239" i="14"/>
  <c r="AV255" i="14"/>
  <c r="AW239" i="14"/>
  <c r="AM324" i="14"/>
  <c r="AM312" i="14"/>
  <c r="AQ299" i="14"/>
  <c r="AT312" i="14"/>
  <c r="AP312" i="14"/>
  <c r="BA324" i="14"/>
  <c r="BA312" i="14"/>
  <c r="BD300" i="14"/>
  <c r="AY313" i="14"/>
  <c r="AY325" i="14"/>
  <c r="AR344" i="14"/>
  <c r="AZ359" i="14"/>
  <c r="AZ356" i="14"/>
  <c r="BE543" i="14"/>
  <c r="BG537" i="14"/>
  <c r="BE540" i="14"/>
  <c r="BG538" i="14"/>
  <c r="S25" i="15"/>
  <c r="AO24" i="15"/>
  <c r="H170" i="15"/>
  <c r="H164" i="15"/>
  <c r="H159" i="15"/>
  <c r="H154" i="15"/>
  <c r="L164" i="15"/>
  <c r="L154" i="15"/>
  <c r="L159" i="15"/>
  <c r="T164" i="15"/>
  <c r="T159" i="15"/>
  <c r="T154" i="15"/>
  <c r="T170" i="15"/>
  <c r="X170" i="15"/>
  <c r="X154" i="15"/>
  <c r="X159" i="15"/>
  <c r="AD18" i="14"/>
  <c r="AD19" i="14"/>
  <c r="AD15" i="14"/>
  <c r="T13" i="14"/>
  <c r="AP18" i="14"/>
  <c r="AB19" i="14"/>
  <c r="BA29" i="14"/>
  <c r="P31" i="14"/>
  <c r="BA135" i="14"/>
  <c r="AN163" i="14"/>
  <c r="AN161" i="14"/>
  <c r="AV168" i="14"/>
  <c r="AQ206" i="14"/>
  <c r="AU205" i="14"/>
  <c r="BA229" i="14"/>
  <c r="BA223" i="14"/>
  <c r="AV264" i="14"/>
  <c r="AV253" i="14"/>
  <c r="AM263" i="14"/>
  <c r="AX263" i="14"/>
  <c r="AR340" i="14"/>
  <c r="AU470" i="14"/>
  <c r="AU474" i="14"/>
  <c r="AW475" i="14"/>
  <c r="AW470" i="14"/>
  <c r="BA469" i="14"/>
  <c r="BA475" i="14"/>
  <c r="G11" i="15"/>
  <c r="G8" i="15"/>
  <c r="G9" i="15"/>
  <c r="AH8" i="15"/>
  <c r="K11" i="15"/>
  <c r="K9" i="15"/>
  <c r="K8" i="15"/>
  <c r="O9" i="15"/>
  <c r="O8" i="15"/>
  <c r="O11" i="15"/>
  <c r="O7" i="15"/>
  <c r="AO8" i="15"/>
  <c r="AO20" i="15"/>
  <c r="S9" i="15"/>
  <c r="S8" i="15"/>
  <c r="S11" i="15"/>
  <c r="AB15" i="14"/>
  <c r="AT18" i="14"/>
  <c r="P19" i="14"/>
  <c r="AF19" i="14"/>
  <c r="AY21" i="14"/>
  <c r="AP33" i="14"/>
  <c r="R31" i="14"/>
  <c r="M26" i="14"/>
  <c r="T27" i="14"/>
  <c r="AY27" i="14"/>
  <c r="T31" i="14"/>
  <c r="P32" i="14"/>
  <c r="AZ41" i="14"/>
  <c r="BC47" i="14"/>
  <c r="AV63" i="14"/>
  <c r="AM64" i="14"/>
  <c r="AM70" i="14"/>
  <c r="AN66" i="14"/>
  <c r="BD68" i="14"/>
  <c r="AS70" i="14"/>
  <c r="AR74" i="14"/>
  <c r="BB74" i="14"/>
  <c r="AX85" i="14"/>
  <c r="BA146" i="14"/>
  <c r="AL102" i="14"/>
  <c r="AY102" i="14"/>
  <c r="AR106" i="14"/>
  <c r="BG108" i="14"/>
  <c r="AQ123" i="14"/>
  <c r="AQ136" i="14"/>
  <c r="AV193" i="14"/>
  <c r="AP164" i="14"/>
  <c r="AP170" i="14"/>
  <c r="AN167" i="14"/>
  <c r="AL180" i="14"/>
  <c r="AM209" i="14"/>
  <c r="AL209" i="14"/>
  <c r="AP184" i="14"/>
  <c r="AP180" i="14"/>
  <c r="AT184" i="14"/>
  <c r="AT180" i="14"/>
  <c r="AT183" i="14" s="1"/>
  <c r="AT209" i="14"/>
  <c r="AX184" i="14"/>
  <c r="AL198" i="14"/>
  <c r="AX210" i="14"/>
  <c r="AX198" i="14"/>
  <c r="BC185" i="14"/>
  <c r="AY210" i="14"/>
  <c r="AP178" i="14"/>
  <c r="AQ183" i="14"/>
  <c r="BA220" i="14"/>
  <c r="AZ242" i="14"/>
  <c r="AZ246" i="14"/>
  <c r="AZ240" i="14"/>
  <c r="AN279" i="14"/>
  <c r="AN285" i="14"/>
  <c r="AR339" i="14"/>
  <c r="BA470" i="14"/>
  <c r="BA477" i="14" s="1"/>
  <c r="BG474" i="14"/>
  <c r="AS506" i="14"/>
  <c r="AS508" i="14"/>
  <c r="AW508" i="14"/>
  <c r="AW506" i="14"/>
  <c r="AW512" i="14"/>
  <c r="BA512" i="14"/>
  <c r="BA508" i="14"/>
  <c r="BL664" i="14"/>
  <c r="BI664" i="14"/>
  <c r="AU6" i="15"/>
  <c r="Y6" i="15"/>
  <c r="H7" i="15"/>
  <c r="AO55" i="15"/>
  <c r="AQ55" i="15" s="1"/>
  <c r="AR55" i="15"/>
  <c r="AF92" i="15"/>
  <c r="AF96" i="15"/>
  <c r="AN92" i="15"/>
  <c r="AN96" i="15"/>
  <c r="AR92" i="15"/>
  <c r="AR90" i="15" s="1"/>
  <c r="AV92" i="15"/>
  <c r="AV96" i="15"/>
  <c r="AJ90" i="15"/>
  <c r="N18" i="14"/>
  <c r="N15" i="14"/>
  <c r="R18" i="14"/>
  <c r="R19" i="14"/>
  <c r="AO18" i="14"/>
  <c r="V18" i="14"/>
  <c r="V15" i="14"/>
  <c r="L13" i="14"/>
  <c r="T15" i="14"/>
  <c r="AV18" i="14"/>
  <c r="AV22" i="14"/>
  <c r="AW32" i="14"/>
  <c r="AX32" i="14"/>
  <c r="T32" i="14"/>
  <c r="Q26" i="14"/>
  <c r="L27" i="14"/>
  <c r="V27" i="14"/>
  <c r="L31" i="14"/>
  <c r="V31" i="14"/>
  <c r="AY31" i="14"/>
  <c r="U32" i="14"/>
  <c r="AS85" i="14"/>
  <c r="BA85" i="14"/>
  <c r="AR86" i="14"/>
  <c r="AZ86" i="14"/>
  <c r="AN41" i="14"/>
  <c r="BB41" i="14"/>
  <c r="BB42" i="14"/>
  <c r="AM87" i="14"/>
  <c r="AV48" i="14"/>
  <c r="BE67" i="14"/>
  <c r="AZ78" i="14"/>
  <c r="BB79" i="14"/>
  <c r="AX90" i="14"/>
  <c r="AR66" i="14"/>
  <c r="BA70" i="14"/>
  <c r="AT74" i="14"/>
  <c r="AQ75" i="14"/>
  <c r="AX79" i="14"/>
  <c r="K95" i="14"/>
  <c r="K96" i="14"/>
  <c r="O95" i="14"/>
  <c r="O96" i="14"/>
  <c r="AB96" i="14"/>
  <c r="AB97" i="14"/>
  <c r="AB95" i="14"/>
  <c r="BH99" i="14"/>
  <c r="BG103" i="14"/>
  <c r="BG101" i="14" s="1"/>
  <c r="BI99" i="14"/>
  <c r="AY101" i="14"/>
  <c r="AY106" i="14"/>
  <c r="AV138" i="14"/>
  <c r="AR138" i="14"/>
  <c r="AW118" i="14"/>
  <c r="AW124" i="14"/>
  <c r="BE120" i="14"/>
  <c r="AZ152" i="14" s="1"/>
  <c r="AZ138" i="14"/>
  <c r="AZ150" i="14"/>
  <c r="AZ151" i="14"/>
  <c r="AY151" i="14"/>
  <c r="BE124" i="14"/>
  <c r="BD125" i="14"/>
  <c r="AY139" i="14"/>
  <c r="AV162" i="14"/>
  <c r="AQ163" i="14"/>
  <c r="AQ161" i="14" s="1"/>
  <c r="AO167" i="14"/>
  <c r="AL184" i="14"/>
  <c r="AT193" i="14"/>
  <c r="AL197" i="14"/>
  <c r="AZ237" i="14"/>
  <c r="AQ324" i="14"/>
  <c r="BA342" i="14"/>
  <c r="AJ46" i="15"/>
  <c r="AL46" i="15" s="1"/>
  <c r="AM46" i="15"/>
  <c r="AR96" i="15"/>
  <c r="L170" i="15"/>
  <c r="P13" i="14"/>
  <c r="AL18" i="14"/>
  <c r="U26" i="14"/>
  <c r="BA75" i="14"/>
  <c r="BF48" i="14"/>
  <c r="AZ50" i="14"/>
  <c r="AZ42" i="14"/>
  <c r="AU47" i="14"/>
  <c r="AV62" i="14"/>
  <c r="AV68" i="14"/>
  <c r="AO119" i="14"/>
  <c r="AO127" i="14"/>
  <c r="AO121" i="14"/>
  <c r="BB127" i="14"/>
  <c r="BB118" i="14"/>
  <c r="AQ162" i="14"/>
  <c r="AY206" i="14"/>
  <c r="AY194" i="14"/>
  <c r="AY168" i="14"/>
  <c r="AN205" i="14"/>
  <c r="AR226" i="14"/>
  <c r="AR222" i="14"/>
  <c r="AR220" i="14" s="1"/>
  <c r="AR251" i="14"/>
  <c r="AM225" i="14"/>
  <c r="BC227" i="14"/>
  <c r="BC222" i="14"/>
  <c r="BC223" i="14" s="1"/>
  <c r="AV221" i="14"/>
  <c r="AV220" i="14"/>
  <c r="AZ229" i="14"/>
  <c r="AO266" i="14"/>
  <c r="AS243" i="14"/>
  <c r="AR256" i="14"/>
  <c r="AN267" i="14"/>
  <c r="BD244" i="14"/>
  <c r="AY267" i="14"/>
  <c r="AR313" i="14"/>
  <c r="AR325" i="14"/>
  <c r="AV313" i="14"/>
  <c r="BA298" i="14"/>
  <c r="BA293" i="14"/>
  <c r="AN348" i="14"/>
  <c r="AN340" i="14"/>
  <c r="AN339" i="14"/>
  <c r="AN342" i="14"/>
  <c r="BD359" i="14"/>
  <c r="BD356" i="14"/>
  <c r="BD421" i="14"/>
  <c r="BD415" i="14"/>
  <c r="AY460" i="14"/>
  <c r="AY450" i="14"/>
  <c r="AY451" i="14"/>
  <c r="G21" i="15"/>
  <c r="G25" i="15"/>
  <c r="P154" i="15"/>
  <c r="P164" i="15"/>
  <c r="P170" i="15"/>
  <c r="X18" i="14"/>
  <c r="X13" i="14"/>
  <c r="P15" i="14"/>
  <c r="BB18" i="14"/>
  <c r="AR44" i="14"/>
  <c r="AW75" i="14"/>
  <c r="BA89" i="14"/>
  <c r="BE103" i="14"/>
  <c r="AZ134" i="14"/>
  <c r="AM110" i="14"/>
  <c r="AM102" i="14"/>
  <c r="AM101" i="14"/>
  <c r="AQ110" i="14"/>
  <c r="AQ102" i="14"/>
  <c r="AU104" i="14"/>
  <c r="AU101" i="14"/>
  <c r="BF103" i="14"/>
  <c r="AO118" i="14"/>
  <c r="AP121" i="14"/>
  <c r="AP119" i="14"/>
  <c r="AR163" i="14"/>
  <c r="AS166" i="14" s="1"/>
  <c r="AN193" i="14"/>
  <c r="AV163" i="14"/>
  <c r="AV170" i="14" s="1"/>
  <c r="AV167" i="14"/>
  <c r="AV161" i="14"/>
  <c r="AZ193" i="14"/>
  <c r="AZ205" i="14"/>
  <c r="BE163" i="14"/>
  <c r="AN168" i="14"/>
  <c r="AN194" i="14"/>
  <c r="AR168" i="14"/>
  <c r="AU194" i="14"/>
  <c r="AZ168" i="14"/>
  <c r="AZ164" i="14"/>
  <c r="AV197" i="14"/>
  <c r="AV198" i="14"/>
  <c r="BA185" i="14"/>
  <c r="BA184" i="14"/>
  <c r="AW229" i="14"/>
  <c r="AR264" i="14"/>
  <c r="AW220" i="14"/>
  <c r="AW225" i="14"/>
  <c r="BB225" i="14"/>
  <c r="AM227" i="14"/>
  <c r="AQ431" i="14"/>
  <c r="AY470" i="14"/>
  <c r="AY478" i="14" s="1"/>
  <c r="AY474" i="14"/>
  <c r="AS470" i="14"/>
  <c r="AS469" i="14" s="1"/>
  <c r="BC474" i="14"/>
  <c r="BE544" i="14"/>
  <c r="AU613" i="14"/>
  <c r="AZ589" i="14"/>
  <c r="BB246" i="14"/>
  <c r="BB238" i="14"/>
  <c r="AN276" i="14"/>
  <c r="AT283" i="14"/>
  <c r="AT277" i="14"/>
  <c r="AX283" i="14"/>
  <c r="AS299" i="14"/>
  <c r="AS312" i="14"/>
  <c r="AN325" i="14"/>
  <c r="AQ300" i="14"/>
  <c r="AW313" i="14"/>
  <c r="AR381" i="14"/>
  <c r="AW339" i="14"/>
  <c r="AW341" i="14"/>
  <c r="AV381" i="14"/>
  <c r="AV371" i="14"/>
  <c r="BE345" i="14"/>
  <c r="BE341" i="14"/>
  <c r="AV372" i="14"/>
  <c r="AO340" i="14"/>
  <c r="AO342" i="14"/>
  <c r="AO339" i="14"/>
  <c r="AS340" i="14"/>
  <c r="AS348" i="14"/>
  <c r="AO373" i="14"/>
  <c r="AS344" i="14"/>
  <c r="W357" i="14"/>
  <c r="BF362" i="14"/>
  <c r="BA375" i="14"/>
  <c r="X357" i="14"/>
  <c r="AM356" i="14"/>
  <c r="AM365" i="14"/>
  <c r="AM361" i="14"/>
  <c r="AM357" i="14"/>
  <c r="AV430" i="14"/>
  <c r="AN441" i="14"/>
  <c r="AU431" i="14"/>
  <c r="AY441" i="14"/>
  <c r="AN468" i="14"/>
  <c r="AN470" i="14"/>
  <c r="AN469" i="14" s="1"/>
  <c r="AW600" i="14"/>
  <c r="AW604" i="14"/>
  <c r="BJ680" i="14"/>
  <c r="BI678" i="14"/>
  <c r="BI680" i="14" s="1"/>
  <c r="BK680" i="14" s="1"/>
  <c r="AL715" i="14"/>
  <c r="BK754" i="14"/>
  <c r="BI756" i="14"/>
  <c r="E170" i="15"/>
  <c r="E159" i="15"/>
  <c r="I170" i="15"/>
  <c r="I159" i="15"/>
  <c r="M170" i="15"/>
  <c r="M159" i="15"/>
  <c r="Q170" i="15"/>
  <c r="Q159" i="15"/>
  <c r="Y170" i="15"/>
  <c r="Y159" i="15"/>
  <c r="AN29" i="14"/>
  <c r="AR29" i="14"/>
  <c r="AV29" i="14"/>
  <c r="BA17" i="14"/>
  <c r="AQ22" i="14"/>
  <c r="AB31" i="14"/>
  <c r="Q32" i="14"/>
  <c r="AO87" i="14"/>
  <c r="AO44" i="14"/>
  <c r="BD47" i="14"/>
  <c r="AX78" i="14"/>
  <c r="AX89" i="14"/>
  <c r="AM66" i="14"/>
  <c r="AL91" i="14"/>
  <c r="AT66" i="14"/>
  <c r="AW87" i="14"/>
  <c r="D73" i="14"/>
  <c r="AR79" i="14"/>
  <c r="AZ79" i="14"/>
  <c r="BE108" i="14"/>
  <c r="AZ106" i="14"/>
  <c r="AU148" i="14"/>
  <c r="AW119" i="14"/>
  <c r="AR151" i="14"/>
  <c r="AV139" i="14"/>
  <c r="AW125" i="14"/>
  <c r="AN140" i="14"/>
  <c r="AZ135" i="14"/>
  <c r="AW138" i="14"/>
  <c r="AR139" i="14"/>
  <c r="AV140" i="14"/>
  <c r="AS150" i="14"/>
  <c r="AO262" i="14"/>
  <c r="AP262" i="14"/>
  <c r="AO251" i="14"/>
  <c r="BE222" i="14"/>
  <c r="AZ262" i="14"/>
  <c r="AZ251" i="14"/>
  <c r="BE226" i="14"/>
  <c r="AR252" i="14"/>
  <c r="AR227" i="14"/>
  <c r="AN252" i="14"/>
  <c r="AR221" i="14"/>
  <c r="AU221" i="14"/>
  <c r="AU229" i="14"/>
  <c r="AY238" i="14"/>
  <c r="AY237" i="14"/>
  <c r="AS251" i="14"/>
  <c r="AP309" i="14"/>
  <c r="BA339" i="14"/>
  <c r="AW345" i="14"/>
  <c r="AF353" i="14"/>
  <c r="AF357" i="14"/>
  <c r="AF358" i="14" s="1"/>
  <c r="AP375" i="14"/>
  <c r="AU362" i="14"/>
  <c r="AT375" i="14"/>
  <c r="AH355" i="14"/>
  <c r="AI355" i="14"/>
  <c r="AQ365" i="14"/>
  <c r="AS385" i="14"/>
  <c r="BC529" i="14"/>
  <c r="BC525" i="14"/>
  <c r="AN530" i="14"/>
  <c r="AN526" i="14"/>
  <c r="AR531" i="14"/>
  <c r="AR530" i="14"/>
  <c r="AV600" i="14"/>
  <c r="AV599" i="14" s="1"/>
  <c r="AM181" i="14"/>
  <c r="AM187" i="14"/>
  <c r="AM251" i="14"/>
  <c r="AX225" i="14"/>
  <c r="AO256" i="14"/>
  <c r="AM262" i="14"/>
  <c r="AZ296" i="14"/>
  <c r="AZ294" i="14"/>
  <c r="AZ302" i="14"/>
  <c r="AU345" i="14"/>
  <c r="AU341" i="14"/>
  <c r="AP383" i="14" s="1"/>
  <c r="AP371" i="14"/>
  <c r="AT381" i="14"/>
  <c r="BC341" i="14"/>
  <c r="BC339" i="14" s="1"/>
  <c r="AT372" i="14"/>
  <c r="AX382" i="14"/>
  <c r="BC346" i="14"/>
  <c r="BC345" i="14"/>
  <c r="AT376" i="14"/>
  <c r="AT386" i="14"/>
  <c r="AV426" i="14"/>
  <c r="AZ426" i="14"/>
  <c r="AN437" i="14"/>
  <c r="AN427" i="14"/>
  <c r="AY437" i="14"/>
  <c r="AY427" i="14"/>
  <c r="BA397" i="14"/>
  <c r="AZ452" i="14"/>
  <c r="AZ456" i="14"/>
  <c r="BC459" i="14"/>
  <c r="BC453" i="14"/>
  <c r="AN456" i="14"/>
  <c r="AM508" i="14"/>
  <c r="AY508" i="14"/>
  <c r="AY509" i="14" s="1"/>
  <c r="BC508" i="14"/>
  <c r="BC516" i="14" s="1"/>
  <c r="AS507" i="14"/>
  <c r="AW507" i="14"/>
  <c r="AW513" i="14"/>
  <c r="AL530" i="14"/>
  <c r="AL526" i="14"/>
  <c r="AL539" i="14"/>
  <c r="AP530" i="14"/>
  <c r="AP527" i="14"/>
  <c r="AP526" i="14"/>
  <c r="AT530" i="14"/>
  <c r="AT539" i="14"/>
  <c r="AT531" i="14"/>
  <c r="AT527" i="14"/>
  <c r="AT526" i="14"/>
  <c r="AM647" i="14"/>
  <c r="AO647" i="14" s="1"/>
  <c r="BJ681" i="14"/>
  <c r="BM681" i="14" s="1"/>
  <c r="BL754" i="14"/>
  <c r="J25" i="15"/>
  <c r="J23" i="15"/>
  <c r="AF12" i="15"/>
  <c r="N22" i="15"/>
  <c r="AJ24" i="15"/>
  <c r="N23" i="15"/>
  <c r="N21" i="15"/>
  <c r="N25" i="15"/>
  <c r="R23" i="15"/>
  <c r="R25" i="15"/>
  <c r="R21" i="15"/>
  <c r="AN12" i="15"/>
  <c r="F21" i="15"/>
  <c r="AN24" i="15"/>
  <c r="AG12" i="18"/>
  <c r="AG97" i="14"/>
  <c r="AY146" i="14"/>
  <c r="AY147" i="14"/>
  <c r="AO148" i="14"/>
  <c r="AV148" i="14"/>
  <c r="AS110" i="14"/>
  <c r="AS205" i="14"/>
  <c r="AS206" i="14"/>
  <c r="AT163" i="14"/>
  <c r="AT166" i="14" s="1"/>
  <c r="AM197" i="14"/>
  <c r="AL222" i="14"/>
  <c r="AT222" i="14"/>
  <c r="AZ263" i="14"/>
  <c r="AX223" i="14"/>
  <c r="BF226" i="14"/>
  <c r="AT256" i="14"/>
  <c r="AU244" i="14"/>
  <c r="AV243" i="14"/>
  <c r="BC244" i="14"/>
  <c r="AR320" i="14"/>
  <c r="AW309" i="14"/>
  <c r="AW321" i="14"/>
  <c r="BA309" i="14"/>
  <c r="AL299" i="14"/>
  <c r="AL295" i="14"/>
  <c r="AV300" i="14"/>
  <c r="AR308" i="14"/>
  <c r="AL320" i="14"/>
  <c r="AP344" i="14"/>
  <c r="AV356" i="14"/>
  <c r="BB363" i="14"/>
  <c r="AW376" i="14"/>
  <c r="AO377" i="14"/>
  <c r="AZ397" i="14"/>
  <c r="AU426" i="14"/>
  <c r="AT437" i="14"/>
  <c r="AY402" i="14"/>
  <c r="AZ395" i="14"/>
  <c r="AR401" i="14"/>
  <c r="AM402" i="14"/>
  <c r="AM616" i="14"/>
  <c r="AL419" i="14"/>
  <c r="BF419" i="14"/>
  <c r="AM430" i="14"/>
  <c r="AZ489" i="14"/>
  <c r="AZ487" i="14" s="1"/>
  <c r="AQ543" i="14"/>
  <c r="AQ544" i="14"/>
  <c r="AZ544" i="14"/>
  <c r="AZ543" i="14"/>
  <c r="AZ540" i="14"/>
  <c r="BD582" i="14"/>
  <c r="AR645" i="14"/>
  <c r="AT645" i="14" s="1"/>
  <c r="AL630" i="14"/>
  <c r="BB672" i="14"/>
  <c r="AY672" i="14"/>
  <c r="Y9" i="15"/>
  <c r="AU19" i="15"/>
  <c r="AN8" i="15"/>
  <c r="AU7" i="15"/>
  <c r="AU11" i="15"/>
  <c r="AU23" i="15"/>
  <c r="E37" i="15"/>
  <c r="F35" i="15"/>
  <c r="AD73" i="15"/>
  <c r="AL278" i="14"/>
  <c r="AL279" i="14" s="1"/>
  <c r="AT278" i="14"/>
  <c r="BA281" i="14"/>
  <c r="BC283" i="14"/>
  <c r="AS308" i="14"/>
  <c r="AU309" i="14"/>
  <c r="AS320" i="14"/>
  <c r="AT361" i="14"/>
  <c r="AP436" i="14"/>
  <c r="AM401" i="14"/>
  <c r="AP402" i="14"/>
  <c r="AP418" i="14"/>
  <c r="AS419" i="14"/>
  <c r="AM450" i="14"/>
  <c r="AP470" i="14"/>
  <c r="AT470" i="14"/>
  <c r="AU473" i="14" s="1"/>
  <c r="BF470" i="14"/>
  <c r="BD489" i="14"/>
  <c r="AT508" i="14"/>
  <c r="BF508" i="14"/>
  <c r="BF516" i="14" s="1"/>
  <c r="AM539" i="14"/>
  <c r="AQ539" i="14"/>
  <c r="AQ542" i="14" s="1"/>
  <c r="AQ526" i="14"/>
  <c r="AQ530" i="14"/>
  <c r="AW540" i="14"/>
  <c r="AU584" i="14"/>
  <c r="AU583" i="14" s="1"/>
  <c r="AU588" i="14"/>
  <c r="AT612" i="14"/>
  <c r="AT623" i="14"/>
  <c r="AN716" i="14"/>
  <c r="AO729" i="14"/>
  <c r="BI739" i="14"/>
  <c r="V6" i="15"/>
  <c r="AR20" i="15" s="1"/>
  <c r="AA4" i="15"/>
  <c r="X20" i="15"/>
  <c r="AT46" i="15"/>
  <c r="AV46" i="15" s="1"/>
  <c r="AW46" i="15"/>
  <c r="AT55" i="15"/>
  <c r="AV55" i="15" s="1"/>
  <c r="AW55" i="15"/>
  <c r="AO73" i="15"/>
  <c r="AO80" i="15" s="1"/>
  <c r="AW77" i="15"/>
  <c r="AB12" i="15" s="1"/>
  <c r="AB4" i="15"/>
  <c r="AL640" i="14"/>
  <c r="AU638" i="14"/>
  <c r="AP657" i="14"/>
  <c r="BO747" i="14"/>
  <c r="BJ765" i="14"/>
  <c r="W6" i="15"/>
  <c r="AS20" i="15" s="1"/>
  <c r="AT39" i="15"/>
  <c r="AV39" i="15" s="1"/>
  <c r="AD6" i="16"/>
  <c r="AD10" i="16"/>
  <c r="AD14" i="16"/>
  <c r="AD18" i="16"/>
  <c r="AD22" i="16"/>
  <c r="AD26" i="16"/>
  <c r="AD30" i="16"/>
  <c r="AD34" i="16"/>
  <c r="AD38" i="16"/>
  <c r="AD42" i="16"/>
  <c r="AD46" i="16"/>
  <c r="AD50" i="16"/>
  <c r="AD54" i="16"/>
  <c r="AD58" i="16"/>
  <c r="AD62" i="16"/>
  <c r="M69" i="16"/>
  <c r="AH12" i="13"/>
  <c r="AH8" i="13"/>
  <c r="AH7" i="13"/>
  <c r="AH13" i="13"/>
  <c r="AP646" i="14"/>
  <c r="AY657" i="14"/>
  <c r="BH680" i="14"/>
  <c r="BH681" i="14" s="1"/>
  <c r="AK20" i="15"/>
  <c r="F170" i="15"/>
  <c r="N170" i="15"/>
  <c r="V170" i="15"/>
  <c r="R66" i="16"/>
  <c r="AG13" i="18"/>
  <c r="AG7" i="18"/>
  <c r="AG11" i="18"/>
  <c r="AG8" i="18"/>
  <c r="F68" i="16"/>
  <c r="F70" i="16"/>
  <c r="G4" i="16"/>
  <c r="G66" i="16" s="1"/>
  <c r="AD4" i="16"/>
  <c r="AD66" i="16" s="1"/>
  <c r="M68" i="16"/>
  <c r="AT24" i="15"/>
  <c r="Z23" i="15"/>
  <c r="AS19" i="15"/>
  <c r="W9" i="15"/>
  <c r="AS7" i="15"/>
  <c r="AI20" i="15"/>
  <c r="L7" i="15"/>
  <c r="AP8" i="15"/>
  <c r="AP20" i="15"/>
  <c r="T7" i="15"/>
  <c r="I7" i="15"/>
  <c r="W7" i="15"/>
  <c r="L8" i="15"/>
  <c r="T8" i="15"/>
  <c r="AM8" i="15"/>
  <c r="T9" i="15"/>
  <c r="L11" i="15"/>
  <c r="AS18" i="15"/>
  <c r="H25" i="15"/>
  <c r="H23" i="15"/>
  <c r="I21" i="15"/>
  <c r="H21" i="15"/>
  <c r="P25" i="15"/>
  <c r="AL24" i="15"/>
  <c r="Q21" i="15"/>
  <c r="AL12" i="15"/>
  <c r="P21" i="15"/>
  <c r="T23" i="15"/>
  <c r="P27" i="15"/>
  <c r="E38" i="15"/>
  <c r="AM20" i="15"/>
  <c r="Q7" i="15"/>
  <c r="Q8" i="15"/>
  <c r="Z8" i="15"/>
  <c r="Z11" i="15"/>
  <c r="AA6" i="15"/>
  <c r="J7" i="15"/>
  <c r="Z7" i="15"/>
  <c r="W8" i="15"/>
  <c r="E9" i="15"/>
  <c r="M11" i="15"/>
  <c r="L27" i="15"/>
  <c r="AJ20" i="15"/>
  <c r="J27" i="15"/>
  <c r="G37" i="15"/>
  <c r="G38" i="15" s="1"/>
  <c r="G35" i="15"/>
  <c r="AV37" i="15"/>
  <c r="AQ18" i="15"/>
  <c r="U8" i="15"/>
  <c r="AU18" i="15"/>
  <c r="Y8" i="15"/>
  <c r="F8" i="15"/>
  <c r="F11" i="15"/>
  <c r="F9" i="15"/>
  <c r="J8" i="15"/>
  <c r="J11" i="15"/>
  <c r="J9" i="15"/>
  <c r="AG8" i="15"/>
  <c r="N8" i="15"/>
  <c r="N11" i="15"/>
  <c r="N9" i="15"/>
  <c r="R8" i="15"/>
  <c r="R11" i="15"/>
  <c r="R9" i="15"/>
  <c r="V8" i="15"/>
  <c r="V11" i="15"/>
  <c r="AQ6" i="15"/>
  <c r="F7" i="15"/>
  <c r="K7" i="15"/>
  <c r="S7" i="15"/>
  <c r="AQ7" i="15"/>
  <c r="H8" i="15"/>
  <c r="AI8" i="15"/>
  <c r="L9" i="15"/>
  <c r="Q9" i="15"/>
  <c r="I11" i="15"/>
  <c r="T11" i="15"/>
  <c r="AI12" i="15"/>
  <c r="U20" i="15"/>
  <c r="AR23" i="15"/>
  <c r="K21" i="15"/>
  <c r="S21" i="15"/>
  <c r="K27" i="15"/>
  <c r="W11" i="15"/>
  <c r="AS8" i="15"/>
  <c r="AL8" i="15"/>
  <c r="AL20" i="15"/>
  <c r="P7" i="15"/>
  <c r="AU20" i="15"/>
  <c r="AS6" i="15"/>
  <c r="AU8" i="15"/>
  <c r="AS22" i="15"/>
  <c r="AS10" i="15"/>
  <c r="L25" i="15"/>
  <c r="AI24" i="15"/>
  <c r="M21" i="15"/>
  <c r="AH12" i="15"/>
  <c r="L23" i="15"/>
  <c r="L21" i="15"/>
  <c r="T25" i="15"/>
  <c r="AP12" i="15"/>
  <c r="AP24" i="15"/>
  <c r="T21" i="15"/>
  <c r="AT18" i="15"/>
  <c r="AT6" i="15"/>
  <c r="M7" i="15"/>
  <c r="M8" i="15"/>
  <c r="AQ20" i="15"/>
  <c r="U7" i="15"/>
  <c r="R7" i="15"/>
  <c r="P9" i="15"/>
  <c r="U9" i="15"/>
  <c r="H11" i="15"/>
  <c r="Y11" i="15"/>
  <c r="AT22" i="15"/>
  <c r="AT10" i="15"/>
  <c r="W20" i="15"/>
  <c r="X21" i="15" s="1"/>
  <c r="L22" i="15"/>
  <c r="AX91" i="15"/>
  <c r="AX93" i="15"/>
  <c r="AX99" i="15"/>
  <c r="Z9" i="15"/>
  <c r="AH20" i="15"/>
  <c r="AK8" i="15"/>
  <c r="X6" i="15"/>
  <c r="Y7" i="15" s="1"/>
  <c r="G7" i="15"/>
  <c r="N7" i="15"/>
  <c r="V7" i="15"/>
  <c r="AT7" i="15"/>
  <c r="AJ8" i="15"/>
  <c r="AR8" i="15"/>
  <c r="H9" i="15"/>
  <c r="M9" i="15"/>
  <c r="E11" i="15"/>
  <c r="P11" i="15"/>
  <c r="U11" i="15"/>
  <c r="V20" i="15"/>
  <c r="V22" i="15" s="1"/>
  <c r="Z20" i="15"/>
  <c r="G23" i="15"/>
  <c r="G22" i="15"/>
  <c r="K23" i="15"/>
  <c r="N27" i="15"/>
  <c r="K25" i="15"/>
  <c r="K22" i="15"/>
  <c r="AG12" i="15"/>
  <c r="O23" i="15"/>
  <c r="O22" i="15"/>
  <c r="R27" i="15"/>
  <c r="O25" i="15"/>
  <c r="AK24" i="15"/>
  <c r="AK12" i="15"/>
  <c r="S23" i="15"/>
  <c r="S22" i="15"/>
  <c r="AO12" i="15"/>
  <c r="AF20" i="15"/>
  <c r="AN20" i="15"/>
  <c r="H22" i="15"/>
  <c r="P22" i="15"/>
  <c r="P23" i="15"/>
  <c r="AQ23" i="15"/>
  <c r="O27" i="15"/>
  <c r="AM74" i="15"/>
  <c r="AM80" i="15"/>
  <c r="AM72" i="15"/>
  <c r="AO74" i="15"/>
  <c r="AD91" i="15"/>
  <c r="AD93" i="15"/>
  <c r="AD99" i="15"/>
  <c r="AR7" i="15"/>
  <c r="V9" i="15"/>
  <c r="AT11" i="15"/>
  <c r="AM24" i="15"/>
  <c r="Y20" i="15"/>
  <c r="Y22" i="15" s="1"/>
  <c r="F22" i="15"/>
  <c r="J22" i="15"/>
  <c r="R22" i="15"/>
  <c r="AR22" i="15"/>
  <c r="Q23" i="15"/>
  <c r="AS23" i="15"/>
  <c r="AF24" i="15"/>
  <c r="AD77" i="15"/>
  <c r="AD71" i="15"/>
  <c r="AH77" i="15"/>
  <c r="AL77" i="15"/>
  <c r="AL73" i="15"/>
  <c r="AL71" i="15" s="1"/>
  <c r="AP77" i="15"/>
  <c r="AP73" i="15"/>
  <c r="AP72" i="15" s="1"/>
  <c r="AP71" i="15"/>
  <c r="AT77" i="15"/>
  <c r="AX77" i="15"/>
  <c r="AX71" i="15"/>
  <c r="AG78" i="15"/>
  <c r="AK78" i="15"/>
  <c r="AO78" i="15"/>
  <c r="AO72" i="15"/>
  <c r="AS78" i="15"/>
  <c r="AW78" i="15"/>
  <c r="AB13" i="15" s="1"/>
  <c r="AE72" i="15"/>
  <c r="AH73" i="15"/>
  <c r="AH71" i="15" s="1"/>
  <c r="AS73" i="15"/>
  <c r="AS72" i="15" s="1"/>
  <c r="AD96" i="15"/>
  <c r="AD90" i="15"/>
  <c r="AH96" i="15"/>
  <c r="AL96" i="15"/>
  <c r="AL92" i="15"/>
  <c r="AP96" i="15"/>
  <c r="AP92" i="15"/>
  <c r="AP90" i="15" s="1"/>
  <c r="AT96" i="15"/>
  <c r="AT90" i="15"/>
  <c r="AX96" i="15"/>
  <c r="AX90" i="15"/>
  <c r="AG97" i="15"/>
  <c r="AK97" i="15"/>
  <c r="AO97" i="15"/>
  <c r="AO91" i="15"/>
  <c r="AS97" i="15"/>
  <c r="AW97" i="15"/>
  <c r="AH92" i="15"/>
  <c r="AH90" i="15" s="1"/>
  <c r="I27" i="15"/>
  <c r="M27" i="15"/>
  <c r="Q27" i="15"/>
  <c r="AG24" i="15"/>
  <c r="F25" i="15"/>
  <c r="H27" i="15"/>
  <c r="AE71" i="15"/>
  <c r="AM77" i="15"/>
  <c r="AM71" i="15"/>
  <c r="AQ73" i="15"/>
  <c r="AQ71" i="15" s="1"/>
  <c r="AQ77" i="15"/>
  <c r="AU73" i="15"/>
  <c r="AU71" i="15" s="1"/>
  <c r="AH78" i="15"/>
  <c r="AH72" i="15"/>
  <c r="AL78" i="15"/>
  <c r="AX78" i="15"/>
  <c r="AX72" i="15"/>
  <c r="AI73" i="15"/>
  <c r="AT73" i="15"/>
  <c r="AP78" i="15"/>
  <c r="AE80" i="15"/>
  <c r="AT91" i="15"/>
  <c r="AT93" i="15"/>
  <c r="AT99" i="15"/>
  <c r="AJ73" i="15"/>
  <c r="AN73" i="15"/>
  <c r="AR73" i="15"/>
  <c r="AV73" i="15"/>
  <c r="AF73" i="15"/>
  <c r="AK73" i="15"/>
  <c r="AV77" i="15"/>
  <c r="AF93" i="15"/>
  <c r="AF99" i="15"/>
  <c r="AJ93" i="15"/>
  <c r="AJ99" i="15"/>
  <c r="AR93" i="15"/>
  <c r="AV93" i="15"/>
  <c r="AV99" i="15"/>
  <c r="AF90" i="15"/>
  <c r="AV90" i="15"/>
  <c r="AJ96" i="15"/>
  <c r="AG73" i="15"/>
  <c r="AG72" i="15" s="1"/>
  <c r="AW73" i="15"/>
  <c r="AW72" i="15" s="1"/>
  <c r="AB7" i="15" s="1"/>
  <c r="AG92" i="15"/>
  <c r="AG96" i="15"/>
  <c r="AK92" i="15"/>
  <c r="AK90" i="15" s="1"/>
  <c r="AK96" i="15"/>
  <c r="AO92" i="15"/>
  <c r="AO96" i="15"/>
  <c r="AO90" i="15"/>
  <c r="AS92" i="15"/>
  <c r="AS91" i="15" s="1"/>
  <c r="AS96" i="15"/>
  <c r="AW92" i="15"/>
  <c r="AW96" i="15"/>
  <c r="G164" i="15"/>
  <c r="G159" i="15"/>
  <c r="G170" i="15"/>
  <c r="G154" i="15"/>
  <c r="K164" i="15"/>
  <c r="K159" i="15"/>
  <c r="K170" i="15"/>
  <c r="K154" i="15"/>
  <c r="O164" i="15"/>
  <c r="O159" i="15"/>
  <c r="O170" i="15"/>
  <c r="O154" i="15"/>
  <c r="S164" i="15"/>
  <c r="S159" i="15"/>
  <c r="S170" i="15"/>
  <c r="S154" i="15"/>
  <c r="W164" i="15"/>
  <c r="W159" i="15"/>
  <c r="W170" i="15"/>
  <c r="W154" i="15"/>
  <c r="AF91" i="15"/>
  <c r="AJ91" i="15"/>
  <c r="AN91" i="15"/>
  <c r="AV91" i="15"/>
  <c r="AE92" i="15"/>
  <c r="AI92" i="15"/>
  <c r="AM92" i="15"/>
  <c r="AM90" i="15" s="1"/>
  <c r="AQ92" i="15"/>
  <c r="AQ91" i="15" s="1"/>
  <c r="AU92" i="15"/>
  <c r="E164" i="15"/>
  <c r="I164" i="15"/>
  <c r="M164" i="15"/>
  <c r="Q164" i="15"/>
  <c r="U164" i="15"/>
  <c r="Y164" i="15"/>
  <c r="E154" i="15"/>
  <c r="I154" i="15"/>
  <c r="M154" i="15"/>
  <c r="Q154" i="15"/>
  <c r="U154" i="15"/>
  <c r="Y154" i="15"/>
  <c r="AV70" i="14"/>
  <c r="AV64" i="14"/>
  <c r="DR22" i="14"/>
  <c r="DP14" i="14" s="1"/>
  <c r="DS23" i="14"/>
  <c r="Y14" i="14"/>
  <c r="Q18" i="14"/>
  <c r="AQ33" i="14"/>
  <c r="AM46" i="14"/>
  <c r="AQ50" i="14"/>
  <c r="AY89" i="14"/>
  <c r="AY78" i="14"/>
  <c r="AP64" i="14"/>
  <c r="BD67" i="14"/>
  <c r="AM76" i="14"/>
  <c r="AR89" i="14"/>
  <c r="AM91" i="14"/>
  <c r="AD95" i="14"/>
  <c r="AL148" i="14"/>
  <c r="AL136" i="14"/>
  <c r="AP104" i="14"/>
  <c r="AT104" i="14"/>
  <c r="AT110" i="14"/>
  <c r="BB104" i="14"/>
  <c r="AW148" i="14"/>
  <c r="AW136" i="14"/>
  <c r="BB106" i="14"/>
  <c r="AX150" i="14"/>
  <c r="AX138" i="14"/>
  <c r="BC118" i="14"/>
  <c r="BC124" i="14"/>
  <c r="BC120" i="14"/>
  <c r="AQ140" i="14"/>
  <c r="AN209" i="14"/>
  <c r="AR180" i="14"/>
  <c r="AR178" i="14" s="1"/>
  <c r="AU209" i="14"/>
  <c r="AU197" i="14"/>
  <c r="AZ184" i="14"/>
  <c r="AN180" i="14"/>
  <c r="AU181" i="14"/>
  <c r="AY197" i="14"/>
  <c r="AM239" i="14"/>
  <c r="AM237" i="14" s="1"/>
  <c r="AN266" i="14"/>
  <c r="AQ255" i="14"/>
  <c r="AQ243" i="14"/>
  <c r="AM255" i="14"/>
  <c r="AM266" i="14"/>
  <c r="AQ239" i="14"/>
  <c r="AQ237" i="14" s="1"/>
  <c r="AT255" i="14"/>
  <c r="AP255" i="14"/>
  <c r="AU239" i="14"/>
  <c r="AP266" i="14"/>
  <c r="AU243" i="14"/>
  <c r="AX255" i="14"/>
  <c r="AX266" i="14"/>
  <c r="BC237" i="14"/>
  <c r="BC239" i="14"/>
  <c r="AY266" i="14"/>
  <c r="AL244" i="14"/>
  <c r="AL239" i="14"/>
  <c r="AL256" i="14"/>
  <c r="AM267" i="14"/>
  <c r="AP244" i="14"/>
  <c r="AL267" i="14"/>
  <c r="AT244" i="14"/>
  <c r="AT239" i="14"/>
  <c r="AT238" i="14" s="1"/>
  <c r="AS267" i="14"/>
  <c r="AT267" i="14"/>
  <c r="AW256" i="14"/>
  <c r="AX244" i="14"/>
  <c r="AX239" i="14"/>
  <c r="AT268" i="14" s="1"/>
  <c r="BA267" i="14"/>
  <c r="BA256" i="14"/>
  <c r="BF239" i="14"/>
  <c r="BC243" i="14"/>
  <c r="AQ266" i="14"/>
  <c r="AV285" i="14"/>
  <c r="AV279" i="14"/>
  <c r="BA400" i="14"/>
  <c r="AV438" i="14"/>
  <c r="BO774" i="14"/>
  <c r="BP738" i="14"/>
  <c r="BO729" i="14"/>
  <c r="M13" i="14"/>
  <c r="Q13" i="14"/>
  <c r="U13" i="14"/>
  <c r="Y13" i="14"/>
  <c r="N14" i="14"/>
  <c r="R14" i="14"/>
  <c r="V14" i="14"/>
  <c r="Z14" i="14"/>
  <c r="AD14" i="14"/>
  <c r="K15" i="14"/>
  <c r="O15" i="14"/>
  <c r="S15" i="14"/>
  <c r="W15" i="14"/>
  <c r="AE15" i="14"/>
  <c r="AM18" i="14"/>
  <c r="AQ18" i="14"/>
  <c r="AU18" i="14"/>
  <c r="O19" i="14"/>
  <c r="S19" i="14"/>
  <c r="W19" i="14"/>
  <c r="AT20" i="14"/>
  <c r="AX20" i="14"/>
  <c r="AO22" i="14"/>
  <c r="AS22" i="14"/>
  <c r="AJ24" i="14"/>
  <c r="X25" i="14"/>
  <c r="N26" i="14"/>
  <c r="R26" i="14"/>
  <c r="V26" i="14"/>
  <c r="M27" i="14"/>
  <c r="Q27" i="14"/>
  <c r="U27" i="14"/>
  <c r="AX27" i="14"/>
  <c r="P28" i="14"/>
  <c r="AL29" i="14"/>
  <c r="AP29" i="14"/>
  <c r="AT29" i="14"/>
  <c r="BB29" i="14"/>
  <c r="M31" i="14"/>
  <c r="Q31" i="14"/>
  <c r="U31" i="14"/>
  <c r="AT31" i="14"/>
  <c r="AX31" i="14"/>
  <c r="R32" i="14"/>
  <c r="V32" i="14"/>
  <c r="Z32" i="14"/>
  <c r="AD32" i="14"/>
  <c r="AU32" i="14"/>
  <c r="AY32" i="14"/>
  <c r="AR33" i="14"/>
  <c r="AO41" i="14"/>
  <c r="AS41" i="14"/>
  <c r="BA41" i="14"/>
  <c r="AV42" i="14"/>
  <c r="AV43" i="14"/>
  <c r="BD43" i="14"/>
  <c r="AL44" i="14"/>
  <c r="AP44" i="14"/>
  <c r="AT44" i="14"/>
  <c r="AN46" i="14"/>
  <c r="AR46" i="14"/>
  <c r="AZ46" i="14"/>
  <c r="AW47" i="14"/>
  <c r="AW48" i="14"/>
  <c r="BE48" i="14"/>
  <c r="AR50" i="14"/>
  <c r="AM80" i="14"/>
  <c r="AU63" i="14"/>
  <c r="AT80" i="14" s="1"/>
  <c r="BC63" i="14"/>
  <c r="BC61" i="14" s="1"/>
  <c r="AQ64" i="14"/>
  <c r="AY64" i="14"/>
  <c r="AO66" i="14"/>
  <c r="AS66" i="14"/>
  <c r="BA66" i="14"/>
  <c r="AW67" i="14"/>
  <c r="AW68" i="14"/>
  <c r="AL70" i="14"/>
  <c r="AP70" i="14"/>
  <c r="AT70" i="14"/>
  <c r="BB70" i="14"/>
  <c r="AS74" i="14"/>
  <c r="AW74" i="14"/>
  <c r="BA74" i="14"/>
  <c r="AR75" i="14"/>
  <c r="AV75" i="14"/>
  <c r="AZ75" i="14"/>
  <c r="AP78" i="14"/>
  <c r="BA78" i="14"/>
  <c r="AQ79" i="14"/>
  <c r="AO80" i="14"/>
  <c r="AY85" i="14"/>
  <c r="BA86" i="14"/>
  <c r="AS89" i="14"/>
  <c r="BB89" i="14"/>
  <c r="AQ90" i="14"/>
  <c r="BA90" i="14"/>
  <c r="AN91" i="14"/>
  <c r="AF97" i="14"/>
  <c r="AE95" i="14"/>
  <c r="AE97" i="14" s="1"/>
  <c r="AG98" i="14" s="1"/>
  <c r="N95" i="14"/>
  <c r="AX146" i="14"/>
  <c r="AX134" i="14"/>
  <c r="BC107" i="14"/>
  <c r="BC103" i="14"/>
  <c r="BG107" i="14"/>
  <c r="AX147" i="14"/>
  <c r="AX135" i="14"/>
  <c r="AN101" i="14"/>
  <c r="AR101" i="14"/>
  <c r="AV101" i="14"/>
  <c r="AZ101" i="14"/>
  <c r="AS102" i="14"/>
  <c r="AX102" i="14"/>
  <c r="BD103" i="14"/>
  <c r="AS104" i="14"/>
  <c r="AZ104" i="14"/>
  <c r="AM106" i="14"/>
  <c r="AT106" i="14"/>
  <c r="BC108" i="14"/>
  <c r="AN110" i="14"/>
  <c r="BB110" i="14"/>
  <c r="AV124" i="14"/>
  <c r="AQ150" i="14"/>
  <c r="AQ138" i="14"/>
  <c r="BD124" i="14"/>
  <c r="BD120" i="14"/>
  <c r="BD118" i="14"/>
  <c r="AP151" i="14"/>
  <c r="AT139" i="14"/>
  <c r="AP139" i="14"/>
  <c r="AX151" i="14"/>
  <c r="AX139" i="14"/>
  <c r="BC125" i="14"/>
  <c r="AN127" i="14"/>
  <c r="AN121" i="14"/>
  <c r="AR127" i="14"/>
  <c r="AR123" i="14"/>
  <c r="AR119" i="14"/>
  <c r="AW127" i="14"/>
  <c r="AW123" i="14"/>
  <c r="BF120" i="14"/>
  <c r="AW121" i="14"/>
  <c r="AO123" i="14"/>
  <c r="BG125" i="14"/>
  <c r="AY134" i="14"/>
  <c r="AS136" i="14"/>
  <c r="AU138" i="14"/>
  <c r="BA139" i="14"/>
  <c r="AR140" i="14"/>
  <c r="AR150" i="14"/>
  <c r="AN152" i="14"/>
  <c r="AL205" i="14"/>
  <c r="AO161" i="14"/>
  <c r="AO205" i="14"/>
  <c r="AO193" i="14"/>
  <c r="AR205" i="14"/>
  <c r="AR193" i="14"/>
  <c r="AW167" i="14"/>
  <c r="AW205" i="14"/>
  <c r="AV205" i="14"/>
  <c r="BA163" i="14"/>
  <c r="BA162" i="14" s="1"/>
  <c r="BA205" i="14"/>
  <c r="BA193" i="14"/>
  <c r="BF167" i="14"/>
  <c r="BF163" i="14"/>
  <c r="BF162" i="14" s="1"/>
  <c r="AO168" i="14"/>
  <c r="AO162" i="14"/>
  <c r="AL206" i="14"/>
  <c r="AO206" i="14"/>
  <c r="AO194" i="14"/>
  <c r="AS168" i="14"/>
  <c r="AS162" i="14"/>
  <c r="AW168" i="14"/>
  <c r="AR206" i="14"/>
  <c r="AR194" i="14"/>
  <c r="AW206" i="14"/>
  <c r="BA168" i="14"/>
  <c r="AV206" i="14"/>
  <c r="BA206" i="14"/>
  <c r="BA194" i="14"/>
  <c r="AL162" i="14"/>
  <c r="AX162" i="14"/>
  <c r="AW163" i="14"/>
  <c r="AX166" i="14" s="1"/>
  <c r="BC166" i="14"/>
  <c r="BC164" i="14"/>
  <c r="AX207" i="14"/>
  <c r="AO164" i="14"/>
  <c r="AP166" i="14"/>
  <c r="AQ167" i="14"/>
  <c r="BF168" i="14"/>
  <c r="AO180" i="14"/>
  <c r="AO184" i="14"/>
  <c r="AO209" i="14"/>
  <c r="AO197" i="14"/>
  <c r="AS180" i="14"/>
  <c r="AS178" i="14" s="1"/>
  <c r="AW180" i="14"/>
  <c r="AR209" i="14"/>
  <c r="AR197" i="14"/>
  <c r="AW178" i="14"/>
  <c r="AW209" i="14"/>
  <c r="BA180" i="14"/>
  <c r="AW211" i="14" s="1"/>
  <c r="BA209" i="14"/>
  <c r="BA197" i="14"/>
  <c r="AO210" i="14"/>
  <c r="AO198" i="14"/>
  <c r="AP210" i="14"/>
  <c r="AR210" i="14"/>
  <c r="AR198" i="14"/>
  <c r="AW179" i="14"/>
  <c r="AW210" i="14"/>
  <c r="AV210" i="14"/>
  <c r="BA210" i="14"/>
  <c r="BA198" i="14"/>
  <c r="BF185" i="14"/>
  <c r="BF179" i="14"/>
  <c r="BF178" i="14"/>
  <c r="AQ179" i="14"/>
  <c r="AV180" i="14"/>
  <c r="AV179" i="14" s="1"/>
  <c r="BD181" i="14"/>
  <c r="BD187" i="14"/>
  <c r="AP181" i="14"/>
  <c r="AR184" i="14"/>
  <c r="BF184" i="14"/>
  <c r="AW185" i="14"/>
  <c r="AU187" i="14"/>
  <c r="AV194" i="14"/>
  <c r="AP209" i="14"/>
  <c r="AM229" i="14"/>
  <c r="AM221" i="14"/>
  <c r="AM223" i="14"/>
  <c r="AR223" i="14"/>
  <c r="AR229" i="14"/>
  <c r="AR253" i="14"/>
  <c r="AS302" i="14"/>
  <c r="AS296" i="14"/>
  <c r="M14" i="14"/>
  <c r="U14" i="14"/>
  <c r="U18" i="14"/>
  <c r="V19" i="14"/>
  <c r="AA25" i="14"/>
  <c r="AW27" i="14"/>
  <c r="K28" i="14"/>
  <c r="S28" i="14"/>
  <c r="AE28" i="14"/>
  <c r="AZ28" i="14"/>
  <c r="AO29" i="14"/>
  <c r="AW31" i="14"/>
  <c r="AM33" i="14"/>
  <c r="AU43" i="14"/>
  <c r="AT76" i="14" s="1"/>
  <c r="BC43" i="14"/>
  <c r="AQ46" i="14"/>
  <c r="AM50" i="14"/>
  <c r="AX62" i="14"/>
  <c r="BF63" i="14"/>
  <c r="BF62" i="14" s="1"/>
  <c r="AT64" i="14"/>
  <c r="BB64" i="14"/>
  <c r="AT85" i="14"/>
  <c r="AY86" i="14"/>
  <c r="AW91" i="14"/>
  <c r="AL110" i="14"/>
  <c r="AP150" i="14"/>
  <c r="AT138" i="14"/>
  <c r="AP138" i="14"/>
  <c r="AU120" i="14"/>
  <c r="AV123" i="14" s="1"/>
  <c r="AT151" i="14"/>
  <c r="AX125" i="14"/>
  <c r="AX120" i="14"/>
  <c r="AX119" i="14" s="1"/>
  <c r="AV127" i="14"/>
  <c r="AU140" i="14"/>
  <c r="AV121" i="14"/>
  <c r="AT164" i="14"/>
  <c r="AO166" i="14"/>
  <c r="BE180" i="14"/>
  <c r="BF183" i="14" s="1"/>
  <c r="AZ197" i="14"/>
  <c r="BE184" i="14"/>
  <c r="AU198" i="14"/>
  <c r="AZ185" i="14"/>
  <c r="BB179" i="14"/>
  <c r="BB178" i="14"/>
  <c r="AQ198" i="14"/>
  <c r="N13" i="14"/>
  <c r="V13" i="14"/>
  <c r="K14" i="14"/>
  <c r="S14" i="14"/>
  <c r="AE14" i="14"/>
  <c r="AY17" i="14"/>
  <c r="O18" i="14"/>
  <c r="AR18" i="14"/>
  <c r="AL22" i="14"/>
  <c r="Y25" i="14"/>
  <c r="Z26" i="14" s="1"/>
  <c r="AC25" i="14"/>
  <c r="AD26" i="14" s="1"/>
  <c r="S26" i="14"/>
  <c r="U28" i="14"/>
  <c r="AU29" i="14"/>
  <c r="S32" i="14"/>
  <c r="W32" i="14"/>
  <c r="AV32" i="14"/>
  <c r="AO33" i="14"/>
  <c r="AS33" i="14"/>
  <c r="BA33" i="14"/>
  <c r="AO76" i="14"/>
  <c r="AW43" i="14"/>
  <c r="AW42" i="14" s="1"/>
  <c r="BE43" i="14"/>
  <c r="BE41" i="14" s="1"/>
  <c r="AM44" i="14"/>
  <c r="AQ44" i="14"/>
  <c r="AY44" i="14"/>
  <c r="AO46" i="14"/>
  <c r="AS46" i="14"/>
  <c r="BA46" i="14"/>
  <c r="AX47" i="14"/>
  <c r="BF47" i="14"/>
  <c r="AS50" i="14"/>
  <c r="BA50" i="14"/>
  <c r="AV61" i="14"/>
  <c r="AU87" i="14"/>
  <c r="BD63" i="14"/>
  <c r="BD62" i="14" s="1"/>
  <c r="AN64" i="14"/>
  <c r="AR64" i="14"/>
  <c r="AZ64" i="14"/>
  <c r="AP66" i="14"/>
  <c r="BB66" i="14"/>
  <c r="AX67" i="14"/>
  <c r="AX68" i="14"/>
  <c r="BF68" i="14"/>
  <c r="AW78" i="14"/>
  <c r="AQ85" i="14"/>
  <c r="AZ85" i="14"/>
  <c r="AS86" i="14"/>
  <c r="AV87" i="14"/>
  <c r="AT89" i="14"/>
  <c r="BB90" i="14"/>
  <c r="AO91" i="14"/>
  <c r="AU91" i="14"/>
  <c r="P95" i="14"/>
  <c r="BD102" i="14"/>
  <c r="AT102" i="14"/>
  <c r="AV106" i="14"/>
  <c r="AV104" i="14"/>
  <c r="AV102" i="14"/>
  <c r="AZ110" i="14"/>
  <c r="AZ102" i="14"/>
  <c r="AN104" i="14"/>
  <c r="AN106" i="14"/>
  <c r="AU106" i="14"/>
  <c r="BD107" i="14"/>
  <c r="BD108" i="14"/>
  <c r="AP110" i="14"/>
  <c r="BF119" i="14"/>
  <c r="BG120" i="14"/>
  <c r="AN136" i="14"/>
  <c r="AU136" i="14"/>
  <c r="BA136" i="14"/>
  <c r="AW139" i="14"/>
  <c r="AZ147" i="14"/>
  <c r="AQ148" i="14"/>
  <c r="AY150" i="14"/>
  <c r="AS151" i="14"/>
  <c r="AQ164" i="14"/>
  <c r="AM207" i="14"/>
  <c r="AS195" i="14"/>
  <c r="AZ195" i="14"/>
  <c r="AX164" i="14"/>
  <c r="AZ166" i="14"/>
  <c r="AT170" i="14"/>
  <c r="AN178" i="14"/>
  <c r="AM211" i="14"/>
  <c r="AM199" i="14"/>
  <c r="AY187" i="14"/>
  <c r="BA199" i="14"/>
  <c r="AQ181" i="14"/>
  <c r="AY181" i="14"/>
  <c r="BF181" i="14"/>
  <c r="AP199" i="14"/>
  <c r="AN210" i="14"/>
  <c r="AO229" i="14"/>
  <c r="AO223" i="14"/>
  <c r="AO220" i="14"/>
  <c r="AO225" i="14"/>
  <c r="BE229" i="14"/>
  <c r="BE220" i="14"/>
  <c r="AU220" i="14"/>
  <c r="AQ264" i="14"/>
  <c r="AU223" i="14"/>
  <c r="AT253" i="14"/>
  <c r="AY220" i="14"/>
  <c r="AT264" i="14"/>
  <c r="AY223" i="14"/>
  <c r="AY225" i="14"/>
  <c r="AY221" i="14"/>
  <c r="AY229" i="14"/>
  <c r="AU264" i="14"/>
  <c r="AX253" i="14"/>
  <c r="AX264" i="14"/>
  <c r="BC225" i="14"/>
  <c r="BC229" i="14"/>
  <c r="AX238" i="14"/>
  <c r="AO246" i="14"/>
  <c r="AO240" i="14"/>
  <c r="BA246" i="14"/>
  <c r="BA238" i="14"/>
  <c r="AV268" i="14"/>
  <c r="BA242" i="14"/>
  <c r="BA237" i="14"/>
  <c r="BA240" i="14"/>
  <c r="AS256" i="14"/>
  <c r="AM278" i="14"/>
  <c r="AM276" i="14" s="1"/>
  <c r="AM282" i="14"/>
  <c r="AM308" i="14"/>
  <c r="AQ278" i="14"/>
  <c r="AQ276" i="14"/>
  <c r="AM320" i="14"/>
  <c r="AQ282" i="14"/>
  <c r="AU278" i="14"/>
  <c r="AQ322" i="14" s="1"/>
  <c r="AT308" i="14"/>
  <c r="AQ320" i="14"/>
  <c r="AP308" i="14"/>
  <c r="AP320" i="14"/>
  <c r="BB282" i="14"/>
  <c r="AW320" i="14"/>
  <c r="AW308" i="14"/>
  <c r="BB278" i="14"/>
  <c r="BB276" i="14" s="1"/>
  <c r="BF278" i="14"/>
  <c r="BA320" i="14"/>
  <c r="BA308" i="14"/>
  <c r="BF282" i="14"/>
  <c r="BF276" i="14"/>
  <c r="AO309" i="14"/>
  <c r="AS278" i="14"/>
  <c r="AS277" i="14" s="1"/>
  <c r="AP321" i="14"/>
  <c r="AR321" i="14"/>
  <c r="AR309" i="14"/>
  <c r="AW283" i="14"/>
  <c r="AW278" i="14"/>
  <c r="AW277" i="14" s="1"/>
  <c r="AV309" i="14"/>
  <c r="BD283" i="14"/>
  <c r="AY309" i="14"/>
  <c r="BD278" i="14"/>
  <c r="AO278" i="14"/>
  <c r="AO277" i="14" s="1"/>
  <c r="AZ314" i="14"/>
  <c r="BE302" i="14"/>
  <c r="BE293" i="14"/>
  <c r="BE296" i="14"/>
  <c r="AO321" i="14"/>
  <c r="AI353" i="14"/>
  <c r="AH353" i="14"/>
  <c r="AW363" i="14"/>
  <c r="AR386" i="14"/>
  <c r="AR376" i="14"/>
  <c r="AV386" i="14"/>
  <c r="AV376" i="14"/>
  <c r="BA363" i="14"/>
  <c r="AZ386" i="14"/>
  <c r="BE363" i="14"/>
  <c r="AZ376" i="14"/>
  <c r="BB359" i="14"/>
  <c r="BB356" i="14"/>
  <c r="BB365" i="14"/>
  <c r="AO456" i="14"/>
  <c r="AO452" i="14"/>
  <c r="AO451" i="14" s="1"/>
  <c r="AS456" i="14"/>
  <c r="AS450" i="14"/>
  <c r="AS452" i="14"/>
  <c r="AW456" i="14"/>
  <c r="AW452" i="14"/>
  <c r="AW451" i="14" s="1"/>
  <c r="BA456" i="14"/>
  <c r="BA452" i="14"/>
  <c r="BA450" i="14" s="1"/>
  <c r="BE456" i="14"/>
  <c r="BE452" i="14"/>
  <c r="BE451" i="14" s="1"/>
  <c r="AO457" i="14"/>
  <c r="AS451" i="14"/>
  <c r="AS457" i="14"/>
  <c r="AW457" i="14"/>
  <c r="BA457" i="14"/>
  <c r="BA451" i="14"/>
  <c r="BE457" i="14"/>
  <c r="AC12" i="14"/>
  <c r="Q14" i="14"/>
  <c r="M18" i="14"/>
  <c r="Y18" i="14"/>
  <c r="O28" i="14"/>
  <c r="W28" i="14"/>
  <c r="AY50" i="14"/>
  <c r="AQ89" i="14"/>
  <c r="AU78" i="14"/>
  <c r="AQ78" i="14"/>
  <c r="AW79" i="14"/>
  <c r="AS79" i="14"/>
  <c r="AX63" i="14"/>
  <c r="AL64" i="14"/>
  <c r="AV67" i="14"/>
  <c r="AP86" i="14"/>
  <c r="AN87" i="14"/>
  <c r="BG118" i="14"/>
  <c r="AW207" i="14"/>
  <c r="AW195" i="14"/>
  <c r="BB161" i="14"/>
  <c r="BB170" i="14"/>
  <c r="BB166" i="14"/>
  <c r="BB164" i="14"/>
  <c r="AZ210" i="14"/>
  <c r="AZ198" i="14"/>
  <c r="BE178" i="14"/>
  <c r="BB181" i="14"/>
  <c r="AV185" i="14"/>
  <c r="AQ197" i="14"/>
  <c r="AY198" i="14"/>
  <c r="AU210" i="14"/>
  <c r="AN225" i="14"/>
  <c r="AN223" i="14"/>
  <c r="AA12" i="14"/>
  <c r="AA15" i="14" s="1"/>
  <c r="R13" i="14"/>
  <c r="Z13" i="14"/>
  <c r="O14" i="14"/>
  <c r="W14" i="14"/>
  <c r="AW16" i="14"/>
  <c r="S18" i="14"/>
  <c r="W18" i="14"/>
  <c r="AE18" i="14"/>
  <c r="AN18" i="14"/>
  <c r="T19" i="14"/>
  <c r="AP22" i="14"/>
  <c r="O26" i="14"/>
  <c r="W26" i="14"/>
  <c r="AE26" i="14"/>
  <c r="AM29" i="14"/>
  <c r="AQ29" i="14"/>
  <c r="O32" i="14"/>
  <c r="W13" i="14"/>
  <c r="AE13" i="14"/>
  <c r="L14" i="14"/>
  <c r="P14" i="14"/>
  <c r="T14" i="14"/>
  <c r="X14" i="14"/>
  <c r="AB14" i="14"/>
  <c r="Q15" i="14"/>
  <c r="U15" i="14"/>
  <c r="Y15" i="14"/>
  <c r="AC15" i="14"/>
  <c r="Q19" i="14"/>
  <c r="U19" i="14"/>
  <c r="Y19" i="14"/>
  <c r="L26" i="14"/>
  <c r="P26" i="14"/>
  <c r="T26" i="14"/>
  <c r="AF26" i="14"/>
  <c r="K27" i="14"/>
  <c r="O27" i="14"/>
  <c r="S27" i="14"/>
  <c r="W27" i="14"/>
  <c r="AE27" i="14"/>
  <c r="N28" i="14"/>
  <c r="R28" i="14"/>
  <c r="O31" i="14"/>
  <c r="AE31" i="14"/>
  <c r="AQ41" i="14"/>
  <c r="AX43" i="14"/>
  <c r="AW76" i="14" s="1"/>
  <c r="BF43" i="14"/>
  <c r="BF42" i="14" s="1"/>
  <c r="AP46" i="14"/>
  <c r="AT46" i="14"/>
  <c r="BB46" i="14"/>
  <c r="AU48" i="14"/>
  <c r="BC48" i="14"/>
  <c r="AP50" i="14"/>
  <c r="BB50" i="14"/>
  <c r="AR90" i="14"/>
  <c r="AZ90" i="14"/>
  <c r="AW63" i="14"/>
  <c r="AW62" i="14" s="1"/>
  <c r="BE63" i="14"/>
  <c r="BE62" i="14" s="1"/>
  <c r="BA64" i="14"/>
  <c r="AQ66" i="14"/>
  <c r="AU67" i="14"/>
  <c r="BC67" i="14"/>
  <c r="AZ70" i="14"/>
  <c r="AQ74" i="14"/>
  <c r="AP75" i="14"/>
  <c r="AX75" i="14"/>
  <c r="AL76" i="14"/>
  <c r="AL80" i="14"/>
  <c r="AW80" i="14"/>
  <c r="BB85" i="14"/>
  <c r="AX86" i="14"/>
  <c r="AZ89" i="14"/>
  <c r="AT90" i="14"/>
  <c r="L95" i="14"/>
  <c r="AL101" i="14"/>
  <c r="AP101" i="14"/>
  <c r="AT101" i="14"/>
  <c r="AX101" i="14"/>
  <c r="BB101" i="14"/>
  <c r="AP102" i="14"/>
  <c r="AO106" i="14"/>
  <c r="AO110" i="14"/>
  <c r="AS106" i="14"/>
  <c r="AW106" i="14"/>
  <c r="AR148" i="14"/>
  <c r="AR136" i="14"/>
  <c r="BA106" i="14"/>
  <c r="BA104" i="14"/>
  <c r="BG106" i="14"/>
  <c r="AO104" i="14"/>
  <c r="AW104" i="14"/>
  <c r="AP106" i="14"/>
  <c r="AX106" i="14"/>
  <c r="BE107" i="14"/>
  <c r="AR110" i="14"/>
  <c r="AX110" i="14"/>
  <c r="BF110" i="14"/>
  <c r="AL127" i="14"/>
  <c r="AM123" i="14"/>
  <c r="AL118" i="14"/>
  <c r="AL152" i="14"/>
  <c r="AL140" i="14"/>
  <c r="AP123" i="14"/>
  <c r="AP118" i="14"/>
  <c r="AT123" i="14"/>
  <c r="AT118" i="14"/>
  <c r="BB123" i="14"/>
  <c r="BB121" i="14"/>
  <c r="BB119" i="14"/>
  <c r="AL121" i="14"/>
  <c r="AT121" i="14"/>
  <c r="AT127" i="14"/>
  <c r="AY135" i="14"/>
  <c r="AO136" i="14"/>
  <c r="AV136" i="14"/>
  <c r="BA147" i="14"/>
  <c r="AS148" i="14"/>
  <c r="BA151" i="14"/>
  <c r="AR152" i="14"/>
  <c r="AW152" i="14"/>
  <c r="AM205" i="14"/>
  <c r="AM193" i="14"/>
  <c r="AP205" i="14"/>
  <c r="AP193" i="14"/>
  <c r="AU163" i="14"/>
  <c r="AU161" i="14" s="1"/>
  <c r="AT205" i="14"/>
  <c r="AX193" i="14"/>
  <c r="BD163" i="14"/>
  <c r="AZ207" i="14" s="1"/>
  <c r="AY205" i="14"/>
  <c r="AM206" i="14"/>
  <c r="AM194" i="14"/>
  <c r="AQ168" i="14"/>
  <c r="AP206" i="14"/>
  <c r="AP194" i="14"/>
  <c r="AX194" i="14"/>
  <c r="AT206" i="14"/>
  <c r="AT162" i="14"/>
  <c r="BB162" i="14"/>
  <c r="AM163" i="14"/>
  <c r="AM195" i="14" s="1"/>
  <c r="AO207" i="14"/>
  <c r="AO195" i="14"/>
  <c r="AY163" i="14"/>
  <c r="AL164" i="14"/>
  <c r="AS164" i="14"/>
  <c r="AU167" i="14"/>
  <c r="AO170" i="14"/>
  <c r="AV178" i="14"/>
  <c r="AN179" i="14"/>
  <c r="AU179" i="14"/>
  <c r="AZ180" i="14"/>
  <c r="AZ179" i="14" s="1"/>
  <c r="AL181" i="14"/>
  <c r="BB183" i="14"/>
  <c r="AV184" i="14"/>
  <c r="BE185" i="14"/>
  <c r="AQ187" i="14"/>
  <c r="BF187" i="14"/>
  <c r="AQ194" i="14"/>
  <c r="AL195" i="14"/>
  <c r="AN197" i="14"/>
  <c r="AN198" i="14"/>
  <c r="AT199" i="14"/>
  <c r="AQ205" i="14"/>
  <c r="AN206" i="14"/>
  <c r="AZ206" i="14"/>
  <c r="AV209" i="14"/>
  <c r="AT229" i="14"/>
  <c r="AN229" i="14"/>
  <c r="AW246" i="14"/>
  <c r="AM243" i="14"/>
  <c r="BF244" i="14"/>
  <c r="AU276" i="14"/>
  <c r="AL294" i="14"/>
  <c r="AL296" i="14"/>
  <c r="AL302" i="14"/>
  <c r="AY342" i="14"/>
  <c r="AY348" i="14"/>
  <c r="AT383" i="14"/>
  <c r="AY340" i="14"/>
  <c r="AY339" i="14"/>
  <c r="AT373" i="14"/>
  <c r="BA383" i="14"/>
  <c r="BF348" i="14"/>
  <c r="BF342" i="14"/>
  <c r="AP148" i="14"/>
  <c r="AP136" i="14"/>
  <c r="AU110" i="14"/>
  <c r="AT148" i="14"/>
  <c r="AT136" i="14"/>
  <c r="AY110" i="14"/>
  <c r="AQ104" i="14"/>
  <c r="AQ106" i="14"/>
  <c r="BF107" i="14"/>
  <c r="AS121" i="14"/>
  <c r="BA134" i="14"/>
  <c r="AM136" i="14"/>
  <c r="AO140" i="14"/>
  <c r="AM148" i="14"/>
  <c r="BA150" i="14"/>
  <c r="AO152" i="14"/>
  <c r="BE168" i="14"/>
  <c r="AZ161" i="14"/>
  <c r="AZ162" i="14"/>
  <c r="AV164" i="14"/>
  <c r="AR166" i="14"/>
  <c r="AR167" i="14"/>
  <c r="AS209" i="14"/>
  <c r="AW197" i="14"/>
  <c r="AS197" i="14"/>
  <c r="BC184" i="14"/>
  <c r="AX209" i="14"/>
  <c r="AL185" i="14"/>
  <c r="AL179" i="14"/>
  <c r="AP185" i="14"/>
  <c r="AP179" i="14"/>
  <c r="AM210" i="14"/>
  <c r="AT185" i="14"/>
  <c r="AS210" i="14"/>
  <c r="AW198" i="14"/>
  <c r="AS198" i="14"/>
  <c r="AX185" i="14"/>
  <c r="AX180" i="14"/>
  <c r="AX179" i="14" s="1"/>
  <c r="BC180" i="14"/>
  <c r="AU193" i="14"/>
  <c r="AZ194" i="14"/>
  <c r="AU195" i="14"/>
  <c r="AP197" i="14"/>
  <c r="AP198" i="14"/>
  <c r="AL210" i="14"/>
  <c r="AT210" i="14"/>
  <c r="AN262" i="14"/>
  <c r="AN251" i="14"/>
  <c r="BD226" i="14"/>
  <c r="BD222" i="14"/>
  <c r="AM252" i="14"/>
  <c r="AX252" i="14"/>
  <c r="AY263" i="14"/>
  <c r="AL220" i="14"/>
  <c r="BD220" i="14"/>
  <c r="AO221" i="14"/>
  <c r="AS264" i="14"/>
  <c r="AX221" i="14"/>
  <c r="AW264" i="14"/>
  <c r="BB221" i="14"/>
  <c r="BB229" i="14"/>
  <c r="BB223" i="14"/>
  <c r="AX229" i="14"/>
  <c r="AN239" i="14"/>
  <c r="AR239" i="14"/>
  <c r="AV239" i="14"/>
  <c r="AV238" i="14" s="1"/>
  <c r="BD239" i="14"/>
  <c r="BD238" i="14" s="1"/>
  <c r="AR238" i="14"/>
  <c r="AW268" i="14"/>
  <c r="BB237" i="14"/>
  <c r="BB242" i="14"/>
  <c r="AV244" i="14"/>
  <c r="AQ252" i="14"/>
  <c r="AZ252" i="14"/>
  <c r="AW253" i="14"/>
  <c r="AO255" i="14"/>
  <c r="AN256" i="14"/>
  <c r="AU256" i="14"/>
  <c r="AN263" i="14"/>
  <c r="AR266" i="14"/>
  <c r="AZ267" i="14"/>
  <c r="AN320" i="14"/>
  <c r="AO320" i="14"/>
  <c r="AR282" i="14"/>
  <c r="AR278" i="14"/>
  <c r="AN308" i="14"/>
  <c r="AU308" i="14"/>
  <c r="AQ308" i="14"/>
  <c r="AV276" i="14"/>
  <c r="BC278" i="14"/>
  <c r="AX320" i="14"/>
  <c r="AX308" i="14"/>
  <c r="AL283" i="14"/>
  <c r="AL277" i="14"/>
  <c r="AM321" i="14"/>
  <c r="AL321" i="14"/>
  <c r="AL309" i="14"/>
  <c r="AS309" i="14"/>
  <c r="AS321" i="14"/>
  <c r="AZ321" i="14"/>
  <c r="BA321" i="14"/>
  <c r="AP277" i="14"/>
  <c r="BE277" i="14"/>
  <c r="AP278" i="14"/>
  <c r="AX278" i="14"/>
  <c r="AV282" i="14"/>
  <c r="BC282" i="14"/>
  <c r="BE283" i="14"/>
  <c r="AN295" i="14"/>
  <c r="AN312" i="14"/>
  <c r="AR295" i="14"/>
  <c r="AO326" i="14" s="1"/>
  <c r="AN324" i="14"/>
  <c r="AV295" i="14"/>
  <c r="AQ312" i="14"/>
  <c r="AU312" i="14"/>
  <c r="AX324" i="14"/>
  <c r="BC295" i="14"/>
  <c r="BC293" i="14" s="1"/>
  <c r="AL325" i="14"/>
  <c r="AL313" i="14"/>
  <c r="AP300" i="14"/>
  <c r="AT295" i="14"/>
  <c r="AT294" i="14"/>
  <c r="AT300" i="14"/>
  <c r="AT325" i="14"/>
  <c r="AS325" i="14"/>
  <c r="AS313" i="14"/>
  <c r="BE300" i="14"/>
  <c r="BE294" i="14"/>
  <c r="AZ325" i="14"/>
  <c r="AZ313" i="14"/>
  <c r="AP294" i="14"/>
  <c r="AM295" i="14"/>
  <c r="AU295" i="14"/>
  <c r="BF295" i="14"/>
  <c r="BF300" i="14"/>
  <c r="AW325" i="14"/>
  <c r="AX345" i="14"/>
  <c r="AX339" i="14"/>
  <c r="AX341" i="14"/>
  <c r="AS381" i="14"/>
  <c r="AS371" i="14"/>
  <c r="BB345" i="14"/>
  <c r="AW371" i="14"/>
  <c r="BB341" i="14"/>
  <c r="AX381" i="14"/>
  <c r="BF345" i="14"/>
  <c r="BF339" i="14"/>
  <c r="BA381" i="14"/>
  <c r="BA371" i="14"/>
  <c r="AS382" i="14"/>
  <c r="AS372" i="14"/>
  <c r="AX346" i="14"/>
  <c r="AT382" i="14"/>
  <c r="AW382" i="14"/>
  <c r="AW372" i="14"/>
  <c r="BF340" i="14"/>
  <c r="BA382" i="14"/>
  <c r="AL339" i="14"/>
  <c r="AL342" i="14"/>
  <c r="AP339" i="14"/>
  <c r="AP340" i="14"/>
  <c r="AL383" i="14"/>
  <c r="AL373" i="14"/>
  <c r="AT339" i="14"/>
  <c r="AT348" i="14"/>
  <c r="AT344" i="14"/>
  <c r="AT340" i="14"/>
  <c r="AV373" i="14"/>
  <c r="AT342" i="14"/>
  <c r="BF346" i="14"/>
  <c r="AA357" i="14"/>
  <c r="AI354" i="14"/>
  <c r="AR385" i="14"/>
  <c r="AR375" i="14"/>
  <c r="AW358" i="14"/>
  <c r="AW357" i="14" s="1"/>
  <c r="AW362" i="14"/>
  <c r="BA362" i="14"/>
  <c r="BA358" i="14"/>
  <c r="BA357" i="14" s="1"/>
  <c r="AV385" i="14"/>
  <c r="AV375" i="14"/>
  <c r="BE358" i="14"/>
  <c r="BE357" i="14" s="1"/>
  <c r="AZ375" i="14"/>
  <c r="BE362" i="14"/>
  <c r="BA385" i="14"/>
  <c r="AX387" i="14"/>
  <c r="BA372" i="14"/>
  <c r="AP396" i="14"/>
  <c r="AS415" i="14"/>
  <c r="AY531" i="14"/>
  <c r="AY530" i="14"/>
  <c r="BC527" i="14"/>
  <c r="BC531" i="14"/>
  <c r="BC530" i="14"/>
  <c r="AY527" i="14"/>
  <c r="AO237" i="14"/>
  <c r="BE243" i="14"/>
  <c r="BE239" i="14"/>
  <c r="BE237" i="14" s="1"/>
  <c r="AS239" i="14"/>
  <c r="AY242" i="14"/>
  <c r="AY240" i="14"/>
  <c r="AO243" i="14"/>
  <c r="AR244" i="14"/>
  <c r="AR255" i="14"/>
  <c r="AZ266" i="14"/>
  <c r="AQ267" i="14"/>
  <c r="AO299" i="14"/>
  <c r="AO295" i="14"/>
  <c r="AO294" i="14" s="1"/>
  <c r="AO324" i="14"/>
  <c r="AS293" i="14"/>
  <c r="AV312" i="14"/>
  <c r="AR312" i="14"/>
  <c r="AS324" i="14"/>
  <c r="BD295" i="14"/>
  <c r="AZ326" i="14" s="1"/>
  <c r="AZ324" i="14"/>
  <c r="BD293" i="14"/>
  <c r="AY324" i="14"/>
  <c r="BD299" i="14"/>
  <c r="AP325" i="14"/>
  <c r="AT313" i="14"/>
  <c r="AP313" i="14"/>
  <c r="AU300" i="14"/>
  <c r="AP302" i="14"/>
  <c r="AL314" i="14"/>
  <c r="AW295" i="14"/>
  <c r="AS326" i="14" s="1"/>
  <c r="BA302" i="14"/>
  <c r="BA294" i="14"/>
  <c r="BA296" i="14"/>
  <c r="AO312" i="14"/>
  <c r="AM313" i="14"/>
  <c r="BA313" i="14"/>
  <c r="AM344" i="14"/>
  <c r="AM342" i="14"/>
  <c r="AM348" i="14"/>
  <c r="AN344" i="14"/>
  <c r="AM383" i="14"/>
  <c r="AM373" i="14"/>
  <c r="AQ344" i="14"/>
  <c r="AQ342" i="14"/>
  <c r="AU344" i="14"/>
  <c r="AU342" i="14"/>
  <c r="AP373" i="14"/>
  <c r="AU340" i="14"/>
  <c r="AU339" i="14"/>
  <c r="AU348" i="14"/>
  <c r="AQ377" i="14"/>
  <c r="AV365" i="14"/>
  <c r="AV359" i="14"/>
  <c r="AY432" i="14"/>
  <c r="AW524" i="14"/>
  <c r="AW478" i="14"/>
  <c r="AW471" i="14"/>
  <c r="AW477" i="14"/>
  <c r="AW468" i="14"/>
  <c r="BD478" i="14"/>
  <c r="BD471" i="14"/>
  <c r="BD473" i="14"/>
  <c r="BD477" i="14"/>
  <c r="AN492" i="14"/>
  <c r="AP251" i="14"/>
  <c r="AL251" i="14"/>
  <c r="AP226" i="14"/>
  <c r="BA262" i="14"/>
  <c r="AO263" i="14"/>
  <c r="AS227" i="14"/>
  <c r="AP222" i="14"/>
  <c r="AP220" i="14" s="1"/>
  <c r="BF222" i="14"/>
  <c r="AL226" i="14"/>
  <c r="AW237" i="14"/>
  <c r="AW243" i="14"/>
  <c r="AS252" i="14"/>
  <c r="AS255" i="14"/>
  <c r="AZ255" i="14"/>
  <c r="AY256" i="14"/>
  <c r="AL262" i="14"/>
  <c r="AU268" i="14"/>
  <c r="AT281" i="14"/>
  <c r="AT279" i="14"/>
  <c r="AU310" i="14"/>
  <c r="AZ277" i="14"/>
  <c r="AU322" i="14"/>
  <c r="AZ310" i="14"/>
  <c r="BE279" i="14"/>
  <c r="AZ281" i="14"/>
  <c r="AL285" i="14"/>
  <c r="AL324" i="14"/>
  <c r="AX325" i="14"/>
  <c r="AQ295" i="14"/>
  <c r="AS314" i="14"/>
  <c r="AX296" i="14"/>
  <c r="BB295" i="14"/>
  <c r="AW299" i="14"/>
  <c r="AY312" i="14"/>
  <c r="AR324" i="14"/>
  <c r="AV326" i="14"/>
  <c r="AQ340" i="14"/>
  <c r="BE348" i="14"/>
  <c r="AN365" i="14"/>
  <c r="AN361" i="14"/>
  <c r="AN359" i="14"/>
  <c r="AN357" i="14"/>
  <c r="AN356" i="14"/>
  <c r="AO361" i="14"/>
  <c r="AR365" i="14"/>
  <c r="AR361" i="14"/>
  <c r="AR359" i="14"/>
  <c r="AR357" i="14"/>
  <c r="AS361" i="14"/>
  <c r="AO387" i="14"/>
  <c r="AN387" i="14"/>
  <c r="AR356" i="14"/>
  <c r="AN377" i="14"/>
  <c r="AP398" i="14"/>
  <c r="AU523" i="14"/>
  <c r="AU459" i="14"/>
  <c r="AU453" i="14"/>
  <c r="AU451" i="14"/>
  <c r="AU455" i="14"/>
  <c r="AU450" i="14"/>
  <c r="AU460" i="14"/>
  <c r="BD455" i="14"/>
  <c r="BD459" i="14"/>
  <c r="BD453" i="14"/>
  <c r="BD460" i="14"/>
  <c r="BD451" i="14"/>
  <c r="BA386" i="14"/>
  <c r="BA376" i="14"/>
  <c r="BB357" i="14"/>
  <c r="AX358" i="14"/>
  <c r="BC361" i="14"/>
  <c r="BC365" i="14"/>
  <c r="AW386" i="14"/>
  <c r="AL580" i="14"/>
  <c r="AL401" i="14"/>
  <c r="AL397" i="14"/>
  <c r="AL395" i="14" s="1"/>
  <c r="AP580" i="14"/>
  <c r="AM622" i="14" s="1"/>
  <c r="AL436" i="14"/>
  <c r="AP426" i="14"/>
  <c r="AL426" i="14"/>
  <c r="AP401" i="14"/>
  <c r="AP395" i="14"/>
  <c r="AT580" i="14"/>
  <c r="AT401" i="14"/>
  <c r="AT397" i="14"/>
  <c r="AX401" i="14"/>
  <c r="AS436" i="14"/>
  <c r="AS426" i="14"/>
  <c r="BB580" i="14"/>
  <c r="BB401" i="14"/>
  <c r="BB395" i="14"/>
  <c r="AW436" i="14"/>
  <c r="AW426" i="14"/>
  <c r="BB397" i="14"/>
  <c r="BF401" i="14"/>
  <c r="BA436" i="14"/>
  <c r="BA426" i="14"/>
  <c r="AO581" i="14"/>
  <c r="AL437" i="14"/>
  <c r="AO402" i="14"/>
  <c r="AS581" i="14"/>
  <c r="AP623" i="14" s="1"/>
  <c r="AS402" i="14"/>
  <c r="AO437" i="14"/>
  <c r="AO427" i="14"/>
  <c r="AW402" i="14"/>
  <c r="AR437" i="14"/>
  <c r="BA402" i="14"/>
  <c r="BA581" i="14"/>
  <c r="BE402" i="14"/>
  <c r="BE396" i="14"/>
  <c r="AZ437" i="14"/>
  <c r="AS397" i="14"/>
  <c r="BE397" i="14"/>
  <c r="AN596" i="14"/>
  <c r="AN418" i="14"/>
  <c r="AR596" i="14"/>
  <c r="AR616" i="14" s="1"/>
  <c r="AR418" i="14"/>
  <c r="AV418" i="14"/>
  <c r="AY596" i="14"/>
  <c r="AZ596" i="14"/>
  <c r="AZ418" i="14"/>
  <c r="BD418" i="14"/>
  <c r="BD412" i="14"/>
  <c r="AM597" i="14"/>
  <c r="AM600" i="14" s="1"/>
  <c r="AM598" i="14" s="1"/>
  <c r="AM419" i="14"/>
  <c r="AQ597" i="14"/>
  <c r="AQ419" i="14"/>
  <c r="AP441" i="14"/>
  <c r="AP431" i="14"/>
  <c r="AU419" i="14"/>
  <c r="AT441" i="14"/>
  <c r="AT431" i="14"/>
  <c r="AY419" i="14"/>
  <c r="AX441" i="14"/>
  <c r="AX431" i="14"/>
  <c r="BC419" i="14"/>
  <c r="AV414" i="14"/>
  <c r="AR427" i="14"/>
  <c r="AN430" i="14"/>
  <c r="AY430" i="14"/>
  <c r="AV437" i="14"/>
  <c r="AV440" i="14"/>
  <c r="AQ441" i="14"/>
  <c r="AT480" i="14"/>
  <c r="AT453" i="14"/>
  <c r="AT455" i="14"/>
  <c r="AT459" i="14"/>
  <c r="AX452" i="14"/>
  <c r="AX451" i="14" s="1"/>
  <c r="AX456" i="14"/>
  <c r="BB452" i="14"/>
  <c r="BB456" i="14"/>
  <c r="BF452" i="14"/>
  <c r="BF451" i="14" s="1"/>
  <c r="BF456" i="14"/>
  <c r="AL457" i="14"/>
  <c r="AP457" i="14"/>
  <c r="AT457" i="14"/>
  <c r="AT451" i="14"/>
  <c r="AX457" i="14"/>
  <c r="BB457" i="14"/>
  <c r="BB451" i="14"/>
  <c r="BF457" i="14"/>
  <c r="AL452" i="14"/>
  <c r="AT472" i="14"/>
  <c r="AT471" i="14" s="1"/>
  <c r="BF477" i="14"/>
  <c r="BF471" i="14"/>
  <c r="BF478" i="14"/>
  <c r="BF524" i="14"/>
  <c r="AT469" i="14"/>
  <c r="AL510" i="14"/>
  <c r="AL513" i="14" s="1"/>
  <c r="AL472" i="14"/>
  <c r="AL477" i="14" s="1"/>
  <c r="AX477" i="14"/>
  <c r="AX478" i="14"/>
  <c r="AX524" i="14"/>
  <c r="AX471" i="14"/>
  <c r="AX473" i="14"/>
  <c r="BF515" i="14"/>
  <c r="AQ381" i="14"/>
  <c r="AQ371" i="14"/>
  <c r="AV341" i="14"/>
  <c r="AU381" i="14"/>
  <c r="AU371" i="14"/>
  <c r="AZ341" i="14"/>
  <c r="AZ340" i="14" s="1"/>
  <c r="AY381" i="14"/>
  <c r="AY371" i="14"/>
  <c r="BD341" i="14"/>
  <c r="AZ383" i="14" s="1"/>
  <c r="AQ382" i="14"/>
  <c r="AQ372" i="14"/>
  <c r="AU382" i="14"/>
  <c r="AU372" i="14"/>
  <c r="AY382" i="14"/>
  <c r="AY372" i="14"/>
  <c r="BD340" i="14"/>
  <c r="AN383" i="14"/>
  <c r="AZ345" i="14"/>
  <c r="BB362" i="14"/>
  <c r="AW385" i="14"/>
  <c r="AW375" i="14"/>
  <c r="AP386" i="14"/>
  <c r="AP376" i="14"/>
  <c r="AX357" i="14"/>
  <c r="BC357" i="14"/>
  <c r="AP365" i="14"/>
  <c r="AP361" i="14"/>
  <c r="AY358" i="14"/>
  <c r="AU387" i="14" s="1"/>
  <c r="AY387" i="14"/>
  <c r="AY377" i="14"/>
  <c r="BD365" i="14"/>
  <c r="BD361" i="14"/>
  <c r="AT359" i="14"/>
  <c r="AQ361" i="14"/>
  <c r="AU363" i="14"/>
  <c r="AS376" i="14"/>
  <c r="AV382" i="14"/>
  <c r="AX386" i="14"/>
  <c r="AT436" i="14"/>
  <c r="AX436" i="14"/>
  <c r="AS437" i="14"/>
  <c r="BA437" i="14"/>
  <c r="AW397" i="14"/>
  <c r="BF397" i="14"/>
  <c r="BF395" i="14" s="1"/>
  <c r="AO596" i="14"/>
  <c r="AL440" i="14"/>
  <c r="AO418" i="14"/>
  <c r="AO414" i="14"/>
  <c r="AS596" i="14"/>
  <c r="AS418" i="14"/>
  <c r="AS412" i="14"/>
  <c r="AO440" i="14"/>
  <c r="AO430" i="14"/>
  <c r="AW418" i="14"/>
  <c r="AR440" i="14"/>
  <c r="AR430" i="14"/>
  <c r="AW414" i="14"/>
  <c r="BA596" i="14"/>
  <c r="BA418" i="14"/>
  <c r="BE418" i="14"/>
  <c r="AZ440" i="14"/>
  <c r="AZ430" i="14"/>
  <c r="BE414" i="14"/>
  <c r="BE412" i="14" s="1"/>
  <c r="AN597" i="14"/>
  <c r="AN419" i="14"/>
  <c r="AR597" i="14"/>
  <c r="AR419" i="14"/>
  <c r="AR431" i="14"/>
  <c r="AV419" i="14"/>
  <c r="AV413" i="14"/>
  <c r="AR441" i="14"/>
  <c r="AZ597" i="14"/>
  <c r="AY597" i="14"/>
  <c r="AZ419" i="14"/>
  <c r="BD419" i="14"/>
  <c r="BD413" i="14"/>
  <c r="AZ441" i="14"/>
  <c r="AN414" i="14"/>
  <c r="AZ414" i="14"/>
  <c r="AZ413" i="14" s="1"/>
  <c r="AV427" i="14"/>
  <c r="AQ430" i="14"/>
  <c r="AM431" i="14"/>
  <c r="AN440" i="14"/>
  <c r="AY440" i="14"/>
  <c r="AU441" i="14"/>
  <c r="AT450" i="14"/>
  <c r="BB450" i="14"/>
  <c r="AP452" i="14"/>
  <c r="AP451" i="14" s="1"/>
  <c r="AM510" i="14"/>
  <c r="AM473" i="14"/>
  <c r="AM472" i="14"/>
  <c r="AM471" i="14" s="1"/>
  <c r="AQ473" i="14"/>
  <c r="AQ469" i="14"/>
  <c r="AU477" i="14"/>
  <c r="AU471" i="14"/>
  <c r="AY477" i="14"/>
  <c r="AY473" i="14"/>
  <c r="AY471" i="14"/>
  <c r="BC477" i="14"/>
  <c r="BC473" i="14"/>
  <c r="BC469" i="14"/>
  <c r="BG477" i="14"/>
  <c r="BG473" i="14"/>
  <c r="BG478" i="14"/>
  <c r="BG469" i="14"/>
  <c r="AW469" i="14"/>
  <c r="AX469" i="14"/>
  <c r="BC471" i="14"/>
  <c r="AN473" i="14"/>
  <c r="AL515" i="14"/>
  <c r="AL509" i="14"/>
  <c r="AM226" i="14"/>
  <c r="AM220" i="14"/>
  <c r="AQ226" i="14"/>
  <c r="AX251" i="14"/>
  <c r="BC226" i="14"/>
  <c r="BC220" i="14"/>
  <c r="AL227" i="14"/>
  <c r="AL221" i="14"/>
  <c r="AP252" i="14"/>
  <c r="AL252" i="14"/>
  <c r="AP227" i="14"/>
  <c r="AP221" i="14"/>
  <c r="AT227" i="14"/>
  <c r="BA263" i="14"/>
  <c r="BF227" i="14"/>
  <c r="BF221" i="14"/>
  <c r="AQ222" i="14"/>
  <c r="AV225" i="14"/>
  <c r="AV223" i="14"/>
  <c r="AZ225" i="14"/>
  <c r="AZ223" i="14"/>
  <c r="BA225" i="14"/>
  <c r="AV229" i="14"/>
  <c r="AL243" i="14"/>
  <c r="AL255" i="14"/>
  <c r="AP243" i="14"/>
  <c r="AT243" i="14"/>
  <c r="AT237" i="14"/>
  <c r="AS266" i="14"/>
  <c r="AX243" i="14"/>
  <c r="AX237" i="14"/>
  <c r="BA266" i="14"/>
  <c r="BF243" i="14"/>
  <c r="BF237" i="14"/>
  <c r="AO244" i="14"/>
  <c r="AO238" i="14"/>
  <c r="AO267" i="14"/>
  <c r="AS244" i="14"/>
  <c r="AS238" i="14"/>
  <c r="AW244" i="14"/>
  <c r="AW238" i="14"/>
  <c r="BE244" i="14"/>
  <c r="BE238" i="14"/>
  <c r="AP239" i="14"/>
  <c r="AP237" i="14" s="1"/>
  <c r="BA252" i="14"/>
  <c r="BA255" i="14"/>
  <c r="AV256" i="14"/>
  <c r="AL263" i="14"/>
  <c r="AT266" i="14"/>
  <c r="AR267" i="14"/>
  <c r="AZ320" i="14"/>
  <c r="BE282" i="14"/>
  <c r="BE276" i="14"/>
  <c r="AN283" i="14"/>
  <c r="AN277" i="14"/>
  <c r="AN321" i="14"/>
  <c r="AR283" i="14"/>
  <c r="AR277" i="14"/>
  <c r="AV283" i="14"/>
  <c r="AV277" i="14"/>
  <c r="AL276" i="14"/>
  <c r="BA279" i="14"/>
  <c r="AX282" i="14"/>
  <c r="AP324" i="14"/>
  <c r="BB299" i="14"/>
  <c r="BB293" i="14"/>
  <c r="BF299" i="14"/>
  <c r="AO300" i="14"/>
  <c r="AS300" i="14"/>
  <c r="AS294" i="14"/>
  <c r="AW300" i="14"/>
  <c r="AW294" i="14"/>
  <c r="BD294" i="14"/>
  <c r="AT326" i="14"/>
  <c r="AY296" i="14"/>
  <c r="AZ298" i="14"/>
  <c r="AU299" i="14"/>
  <c r="AZ308" i="14"/>
  <c r="AW312" i="14"/>
  <c r="AO313" i="14"/>
  <c r="AO325" i="14"/>
  <c r="AU326" i="14"/>
  <c r="AZ381" i="14"/>
  <c r="AZ371" i="14"/>
  <c r="AW346" i="14"/>
  <c r="AW340" i="14"/>
  <c r="BA346" i="14"/>
  <c r="BA340" i="14"/>
  <c r="BE346" i="14"/>
  <c r="BE340" i="14"/>
  <c r="AZ339" i="14"/>
  <c r="BE339" i="14"/>
  <c r="AX373" i="14"/>
  <c r="BC342" i="14"/>
  <c r="AS342" i="14"/>
  <c r="AO344" i="14"/>
  <c r="AV345" i="14"/>
  <c r="BA345" i="14"/>
  <c r="BD346" i="14"/>
  <c r="AO348" i="14"/>
  <c r="BC356" i="14"/>
  <c r="AT356" i="14"/>
  <c r="Z357" i="14"/>
  <c r="AM387" i="14"/>
  <c r="AM377" i="14"/>
  <c r="AQ356" i="14"/>
  <c r="AU358" i="14"/>
  <c r="AV361" i="14" s="1"/>
  <c r="AU377" i="14"/>
  <c r="AZ365" i="14"/>
  <c r="BF358" i="14"/>
  <c r="AP359" i="14"/>
  <c r="BC359" i="14"/>
  <c r="AY362" i="14"/>
  <c r="AR372" i="14"/>
  <c r="AZ372" i="14"/>
  <c r="AS375" i="14"/>
  <c r="AL377" i="14"/>
  <c r="AO383" i="14"/>
  <c r="AP385" i="14"/>
  <c r="AX385" i="14"/>
  <c r="AS386" i="14"/>
  <c r="AN580" i="14"/>
  <c r="AN397" i="14"/>
  <c r="AN395" i="14" s="1"/>
  <c r="AN401" i="14"/>
  <c r="AR580" i="14"/>
  <c r="AR397" i="14"/>
  <c r="AR396" i="14" s="1"/>
  <c r="AV397" i="14"/>
  <c r="AV395" i="14" s="1"/>
  <c r="AV401" i="14"/>
  <c r="AZ404" i="14"/>
  <c r="AU428" i="14"/>
  <c r="BD397" i="14"/>
  <c r="BD401" i="14"/>
  <c r="BD395" i="14"/>
  <c r="AM589" i="14"/>
  <c r="AQ581" i="14"/>
  <c r="AM427" i="14"/>
  <c r="AQ402" i="14"/>
  <c r="AP437" i="14"/>
  <c r="AP427" i="14"/>
  <c r="AO397" i="14"/>
  <c r="AO395" i="14" s="1"/>
  <c r="AX397" i="14"/>
  <c r="AZ398" i="14"/>
  <c r="AZ401" i="14"/>
  <c r="AS440" i="14"/>
  <c r="BA440" i="14"/>
  <c r="AR414" i="14"/>
  <c r="AR413" i="14" s="1"/>
  <c r="BA414" i="14"/>
  <c r="AQ426" i="14"/>
  <c r="AU430" i="14"/>
  <c r="AN431" i="14"/>
  <c r="AY431" i="14"/>
  <c r="AM436" i="14"/>
  <c r="AV436" i="14"/>
  <c r="AQ437" i="14"/>
  <c r="AQ440" i="14"/>
  <c r="AM441" i="14"/>
  <c r="AV441" i="14"/>
  <c r="AN455" i="14"/>
  <c r="AN459" i="14"/>
  <c r="AN491" i="14"/>
  <c r="AN493" i="14" s="1"/>
  <c r="AN453" i="14"/>
  <c r="AZ450" i="14"/>
  <c r="BD450" i="14"/>
  <c r="AL450" i="14"/>
  <c r="AT456" i="14"/>
  <c r="AZ460" i="14"/>
  <c r="BD468" i="14"/>
  <c r="AM469" i="14"/>
  <c r="AY469" i="14"/>
  <c r="AS510" i="14"/>
  <c r="AS515" i="14" s="1"/>
  <c r="AS472" i="14"/>
  <c r="AS468" i="14"/>
  <c r="BB477" i="14"/>
  <c r="BB478" i="14"/>
  <c r="BB473" i="14"/>
  <c r="BG471" i="14"/>
  <c r="BC478" i="14"/>
  <c r="AZ496" i="14"/>
  <c r="AZ492" i="14"/>
  <c r="AZ490" i="14"/>
  <c r="AZ497" i="14"/>
  <c r="AM515" i="14"/>
  <c r="AM511" i="14"/>
  <c r="AM509" i="14"/>
  <c r="AY515" i="14"/>
  <c r="AY516" i="14"/>
  <c r="AY507" i="14"/>
  <c r="BC515" i="14"/>
  <c r="BE589" i="14"/>
  <c r="BE584" i="14"/>
  <c r="AL161" i="14"/>
  <c r="AP161" i="14"/>
  <c r="AT161" i="14"/>
  <c r="AX161" i="14"/>
  <c r="AX167" i="14"/>
  <c r="AM178" i="14"/>
  <c r="AQ178" i="14"/>
  <c r="AU178" i="14"/>
  <c r="AY178" i="14"/>
  <c r="AS193" i="14"/>
  <c r="AW193" i="14"/>
  <c r="AS194" i="14"/>
  <c r="AW194" i="14"/>
  <c r="AS222" i="14"/>
  <c r="AP256" i="14"/>
  <c r="AO276" i="14"/>
  <c r="AS276" i="14"/>
  <c r="AW282" i="14"/>
  <c r="AL293" i="14"/>
  <c r="AP293" i="14"/>
  <c r="AT293" i="14"/>
  <c r="AX293" i="14"/>
  <c r="AP299" i="14"/>
  <c r="AX299" i="14"/>
  <c r="AX313" i="14"/>
  <c r="AR348" i="14"/>
  <c r="AQ385" i="14"/>
  <c r="AQ375" i="14"/>
  <c r="AU385" i="14"/>
  <c r="AU375" i="14"/>
  <c r="AY385" i="14"/>
  <c r="AY375" i="14"/>
  <c r="AQ386" i="14"/>
  <c r="AQ376" i="14"/>
  <c r="AV363" i="14"/>
  <c r="AU386" i="14"/>
  <c r="AU376" i="14"/>
  <c r="AZ363" i="14"/>
  <c r="AY386" i="14"/>
  <c r="AY376" i="14"/>
  <c r="BD363" i="14"/>
  <c r="AV357" i="14"/>
  <c r="AZ357" i="14"/>
  <c r="BD357" i="14"/>
  <c r="AV362" i="14"/>
  <c r="AT371" i="14"/>
  <c r="AX372" i="14"/>
  <c r="AN373" i="14"/>
  <c r="AO580" i="14"/>
  <c r="AO401" i="14"/>
  <c r="AS580" i="14"/>
  <c r="AS612" i="14" s="1"/>
  <c r="AO436" i="14"/>
  <c r="AO426" i="14"/>
  <c r="AS401" i="14"/>
  <c r="AS395" i="14"/>
  <c r="AW401" i="14"/>
  <c r="BA580" i="14"/>
  <c r="BA401" i="14"/>
  <c r="BA395" i="14"/>
  <c r="BE401" i="14"/>
  <c r="BE395" i="14"/>
  <c r="AN581" i="14"/>
  <c r="AN402" i="14"/>
  <c r="AN396" i="14"/>
  <c r="AR581" i="14"/>
  <c r="AR402" i="14"/>
  <c r="AV402" i="14"/>
  <c r="AV396" i="14"/>
  <c r="AZ402" i="14"/>
  <c r="AZ396" i="14"/>
  <c r="BD402" i="14"/>
  <c r="BD396" i="14"/>
  <c r="AP440" i="14"/>
  <c r="AR426" i="14"/>
  <c r="AU427" i="14"/>
  <c r="AR436" i="14"/>
  <c r="AZ436" i="14"/>
  <c r="AM491" i="14"/>
  <c r="AM459" i="14"/>
  <c r="AM451" i="14"/>
  <c r="AY459" i="14"/>
  <c r="AY455" i="14"/>
  <c r="AY453" i="14"/>
  <c r="AV474" i="14"/>
  <c r="AV470" i="14"/>
  <c r="AV468" i="14" s="1"/>
  <c r="AZ474" i="14"/>
  <c r="AZ470" i="14"/>
  <c r="AL469" i="14"/>
  <c r="AP469" i="14"/>
  <c r="AT475" i="14"/>
  <c r="BB469" i="14"/>
  <c r="BF475" i="14"/>
  <c r="BF469" i="14"/>
  <c r="AR470" i="14"/>
  <c r="AS473" i="14" s="1"/>
  <c r="BA473" i="14"/>
  <c r="BB475" i="14"/>
  <c r="AM487" i="14"/>
  <c r="AQ489" i="14"/>
  <c r="AQ487" i="14" s="1"/>
  <c r="AU489" i="14"/>
  <c r="AY489" i="14"/>
  <c r="AY493" i="14"/>
  <c r="BC489" i="14"/>
  <c r="BC487" i="14" s="1"/>
  <c r="BG489" i="14"/>
  <c r="BG487" i="14" s="1"/>
  <c r="BG493" i="14"/>
  <c r="AW494" i="14"/>
  <c r="BE494" i="14"/>
  <c r="AN496" i="14"/>
  <c r="AU493" i="14"/>
  <c r="AO531" i="14"/>
  <c r="AO530" i="14"/>
  <c r="AO526" i="14"/>
  <c r="AO527" i="14" s="1"/>
  <c r="AO539" i="14"/>
  <c r="AS531" i="14"/>
  <c r="AS526" i="14"/>
  <c r="AS530" i="14"/>
  <c r="AS539" i="14"/>
  <c r="AR542" i="14"/>
  <c r="AR541" i="14"/>
  <c r="AQ622" i="14"/>
  <c r="AV584" i="14"/>
  <c r="AV582" i="14" s="1"/>
  <c r="AQ612" i="14"/>
  <c r="AV588" i="14"/>
  <c r="AZ588" i="14"/>
  <c r="AU622" i="14"/>
  <c r="AU612" i="14"/>
  <c r="AZ584" i="14"/>
  <c r="AZ582" i="14" s="1"/>
  <c r="BC582" i="14"/>
  <c r="BC591" i="14"/>
  <c r="BC585" i="14"/>
  <c r="BC583" i="14"/>
  <c r="AV496" i="14"/>
  <c r="AV487" i="14"/>
  <c r="AL512" i="14"/>
  <c r="AP508" i="14"/>
  <c r="AP506" i="14"/>
  <c r="AT506" i="14"/>
  <c r="BB512" i="14"/>
  <c r="BB508" i="14"/>
  <c r="BB507" i="14" s="1"/>
  <c r="AZ513" i="14"/>
  <c r="BD513" i="14"/>
  <c r="BD507" i="14"/>
  <c r="AL506" i="14"/>
  <c r="AX508" i="14"/>
  <c r="AY511" i="14" s="1"/>
  <c r="BB540" i="14"/>
  <c r="BB543" i="14"/>
  <c r="BF544" i="14"/>
  <c r="BF540" i="14"/>
  <c r="BF543" i="14"/>
  <c r="AM588" i="14"/>
  <c r="AM584" i="14"/>
  <c r="AM582" i="14" s="1"/>
  <c r="AM612" i="14"/>
  <c r="AQ588" i="14"/>
  <c r="AL589" i="14"/>
  <c r="AL613" i="14"/>
  <c r="AL623" i="14"/>
  <c r="AP589" i="14"/>
  <c r="AP613" i="14"/>
  <c r="AT589" i="14"/>
  <c r="BB581" i="14"/>
  <c r="AM397" i="14"/>
  <c r="AM396" i="14" s="1"/>
  <c r="AQ397" i="14"/>
  <c r="AU397" i="14"/>
  <c r="AY397" i="14"/>
  <c r="BC397" i="14"/>
  <c r="AL604" i="14"/>
  <c r="AL600" i="14"/>
  <c r="AL598" i="14" s="1"/>
  <c r="AL616" i="14"/>
  <c r="AL626" i="14"/>
  <c r="AP616" i="14"/>
  <c r="AP604" i="14"/>
  <c r="AT604" i="14"/>
  <c r="AT600" i="14"/>
  <c r="AT598" i="14" s="1"/>
  <c r="BB596" i="14"/>
  <c r="AO605" i="14"/>
  <c r="AO627" i="14"/>
  <c r="AO617" i="14"/>
  <c r="AS605" i="14"/>
  <c r="BA597" i="14"/>
  <c r="AL414" i="14"/>
  <c r="AP414" i="14"/>
  <c r="AT414" i="14"/>
  <c r="AX414" i="14"/>
  <c r="BB414" i="14"/>
  <c r="BF414" i="14"/>
  <c r="AS427" i="14"/>
  <c r="AW427" i="14"/>
  <c r="BA427" i="14"/>
  <c r="AS430" i="14"/>
  <c r="AW430" i="14"/>
  <c r="BA430" i="14"/>
  <c r="AO431" i="14"/>
  <c r="AS431" i="14"/>
  <c r="AW431" i="14"/>
  <c r="BA431" i="14"/>
  <c r="AW437" i="14"/>
  <c r="AW440" i="14"/>
  <c r="AO441" i="14"/>
  <c r="AN450" i="14"/>
  <c r="AV450" i="14"/>
  <c r="AQ452" i="14"/>
  <c r="AV452" i="14"/>
  <c r="BG452" i="14"/>
  <c r="BC455" i="14"/>
  <c r="AP468" i="14"/>
  <c r="BA468" i="14"/>
  <c r="BF468" i="14"/>
  <c r="AZ469" i="14"/>
  <c r="AO470" i="14"/>
  <c r="AO469" i="14" s="1"/>
  <c r="BE470" i="14"/>
  <c r="BF473" i="14" s="1"/>
  <c r="BF474" i="14"/>
  <c r="BD487" i="14"/>
  <c r="AR489" i="14"/>
  <c r="AR487" i="14" s="1"/>
  <c r="AN508" i="14"/>
  <c r="AN510" i="14" s="1"/>
  <c r="AN512" i="14" s="1"/>
  <c r="AR508" i="14"/>
  <c r="AZ508" i="14"/>
  <c r="AZ507" i="14" s="1"/>
  <c r="BD508" i="14"/>
  <c r="BD506" i="14" s="1"/>
  <c r="AL507" i="14"/>
  <c r="AX507" i="14"/>
  <c r="BA511" i="14"/>
  <c r="BA509" i="14"/>
  <c r="AR623" i="14"/>
  <c r="AR613" i="14"/>
  <c r="AW589" i="14"/>
  <c r="AW584" i="14"/>
  <c r="AW583" i="14" s="1"/>
  <c r="AP597" i="14"/>
  <c r="AP617" i="14" s="1"/>
  <c r="AM604" i="14"/>
  <c r="AM626" i="14"/>
  <c r="AQ604" i="14"/>
  <c r="AT605" i="14"/>
  <c r="BB597" i="14"/>
  <c r="AM414" i="14"/>
  <c r="AQ414" i="14"/>
  <c r="AU414" i="14"/>
  <c r="AY414" i="14"/>
  <c r="BC414" i="14"/>
  <c r="AT427" i="14"/>
  <c r="AX427" i="14"/>
  <c r="AP430" i="14"/>
  <c r="AT430" i="14"/>
  <c r="AX430" i="14"/>
  <c r="AL431" i="14"/>
  <c r="AR452" i="14"/>
  <c r="AR450" i="14" s="1"/>
  <c r="BC460" i="14"/>
  <c r="AL468" i="14"/>
  <c r="BB468" i="14"/>
  <c r="BA478" i="14"/>
  <c r="BA471" i="14"/>
  <c r="BD497" i="14"/>
  <c r="AW516" i="14"/>
  <c r="AW515" i="14"/>
  <c r="AW509" i="14"/>
  <c r="AM507" i="14"/>
  <c r="AS509" i="14"/>
  <c r="BD525" i="14"/>
  <c r="BD528" i="14"/>
  <c r="AR529" i="14"/>
  <c r="AR528" i="14"/>
  <c r="AM468" i="14"/>
  <c r="AQ468" i="14"/>
  <c r="AU468" i="14"/>
  <c r="AY468" i="14"/>
  <c r="BC468" i="14"/>
  <c r="BG468" i="14"/>
  <c r="AL489" i="14"/>
  <c r="AP489" i="14"/>
  <c r="AP487" i="14" s="1"/>
  <c r="AT489" i="14"/>
  <c r="AT487" i="14" s="1"/>
  <c r="AX489" i="14"/>
  <c r="BB489" i="14"/>
  <c r="BF489" i="14"/>
  <c r="BF487" i="14" s="1"/>
  <c r="AN488" i="14"/>
  <c r="AV488" i="14"/>
  <c r="AZ488" i="14"/>
  <c r="BD488" i="14"/>
  <c r="BA506" i="14"/>
  <c r="AO508" i="14"/>
  <c r="BE508" i="14"/>
  <c r="AL529" i="14"/>
  <c r="AL528" i="14"/>
  <c r="AL527" i="14"/>
  <c r="AQ529" i="14"/>
  <c r="AQ528" i="14"/>
  <c r="BF584" i="14"/>
  <c r="BF582" i="14" s="1"/>
  <c r="BF588" i="14"/>
  <c r="BD605" i="14"/>
  <c r="BD600" i="14"/>
  <c r="BD598" i="14" s="1"/>
  <c r="BF601" i="14"/>
  <c r="BF603" i="14"/>
  <c r="BF607" i="14"/>
  <c r="AM488" i="14"/>
  <c r="AY488" i="14"/>
  <c r="BG488" i="14"/>
  <c r="AO489" i="14"/>
  <c r="AO487" i="14" s="1"/>
  <c r="AS489" i="14"/>
  <c r="AS487" i="14" s="1"/>
  <c r="AW489" i="14"/>
  <c r="AW487" i="14" s="1"/>
  <c r="BA489" i="14"/>
  <c r="BE489" i="14"/>
  <c r="BE487" i="14" s="1"/>
  <c r="AM506" i="14"/>
  <c r="AY506" i="14"/>
  <c r="BC506" i="14"/>
  <c r="AO507" i="14"/>
  <c r="BA507" i="14"/>
  <c r="BE507" i="14"/>
  <c r="AQ508" i="14"/>
  <c r="AQ472" i="14" s="1"/>
  <c r="AU508" i="14"/>
  <c r="BG508" i="14"/>
  <c r="BG506" i="14" s="1"/>
  <c r="AZ512" i="14"/>
  <c r="AZ531" i="14"/>
  <c r="AZ530" i="14"/>
  <c r="AZ527" i="14"/>
  <c r="AM543" i="14"/>
  <c r="AM544" i="14"/>
  <c r="AM540" i="14"/>
  <c r="AY538" i="14"/>
  <c r="AQ540" i="14"/>
  <c r="BD540" i="14"/>
  <c r="AU544" i="14"/>
  <c r="AS622" i="14"/>
  <c r="AX584" i="14"/>
  <c r="AX582" i="14"/>
  <c r="AX588" i="14"/>
  <c r="BG589" i="14"/>
  <c r="BG584" i="14"/>
  <c r="BG583" i="14"/>
  <c r="AU585" i="14"/>
  <c r="AU582" i="14"/>
  <c r="AU591" i="14"/>
  <c r="AR628" i="14"/>
  <c r="AW607" i="14"/>
  <c r="AP627" i="14"/>
  <c r="AU605" i="14"/>
  <c r="BF599" i="14"/>
  <c r="AW598" i="14"/>
  <c r="AV603" i="14"/>
  <c r="AW601" i="14"/>
  <c r="AR646" i="14"/>
  <c r="AT646" i="14" s="1"/>
  <c r="AU646" i="14"/>
  <c r="AX487" i="14"/>
  <c r="AN506" i="14"/>
  <c r="AP507" i="14"/>
  <c r="BF507" i="14"/>
  <c r="AV508" i="14"/>
  <c r="AV506" i="14" s="1"/>
  <c r="AN527" i="14"/>
  <c r="AR527" i="14"/>
  <c r="BE531" i="14"/>
  <c r="BE530" i="14"/>
  <c r="AQ527" i="14"/>
  <c r="AM530" i="14"/>
  <c r="BA530" i="14"/>
  <c r="AM531" i="14"/>
  <c r="BA541" i="14"/>
  <c r="BA538" i="14"/>
  <c r="BA544" i="14" s="1"/>
  <c r="BB544" i="14"/>
  <c r="AR544" i="14"/>
  <c r="AR543" i="14"/>
  <c r="AR540" i="14"/>
  <c r="AN539" i="14"/>
  <c r="AQ541" i="14"/>
  <c r="BD543" i="14"/>
  <c r="BD585" i="14"/>
  <c r="BD591" i="14"/>
  <c r="BD587" i="14"/>
  <c r="AU589" i="14"/>
  <c r="AY589" i="14"/>
  <c r="AT613" i="14"/>
  <c r="AY584" i="14"/>
  <c r="AS626" i="14"/>
  <c r="AS616" i="14"/>
  <c r="AX600" i="14"/>
  <c r="AX599" i="14" s="1"/>
  <c r="AX604" i="14"/>
  <c r="BF598" i="14"/>
  <c r="AV607" i="14"/>
  <c r="AP638" i="14"/>
  <c r="AM638" i="14"/>
  <c r="AO638" i="14" s="1"/>
  <c r="AN640" i="14"/>
  <c r="AP531" i="14"/>
  <c r="AL544" i="14"/>
  <c r="AL540" i="14"/>
  <c r="AP544" i="14"/>
  <c r="AT544" i="14"/>
  <c r="AT540" i="14"/>
  <c r="AX544" i="14"/>
  <c r="AX540" i="14"/>
  <c r="AP539" i="14"/>
  <c r="BC540" i="14"/>
  <c r="AL543" i="14"/>
  <c r="BC544" i="14"/>
  <c r="AT622" i="14"/>
  <c r="AS623" i="14"/>
  <c r="BE582" i="14"/>
  <c r="AQ627" i="14"/>
  <c r="BF604" i="14"/>
  <c r="BF605" i="14"/>
  <c r="AP729" i="14"/>
  <c r="BH765" i="14"/>
  <c r="BK765" i="14" s="1"/>
  <c r="BP729" i="14" s="1"/>
  <c r="BK763" i="14"/>
  <c r="BL763" i="14"/>
  <c r="BE598" i="14"/>
  <c r="AQ616" i="14"/>
  <c r="AQ626" i="14"/>
  <c r="CN657" i="14"/>
  <c r="CP657" i="14" s="1"/>
  <c r="CQ657" i="14"/>
  <c r="AP664" i="14"/>
  <c r="AM664" i="14"/>
  <c r="AO664" i="14" s="1"/>
  <c r="AR622" i="14"/>
  <c r="AR612" i="14"/>
  <c r="AW588" i="14"/>
  <c r="AQ623" i="14"/>
  <c r="BD583" i="14"/>
  <c r="AW582" i="14"/>
  <c r="AR626" i="14"/>
  <c r="AS627" i="14"/>
  <c r="AS617" i="14"/>
  <c r="BE600" i="14"/>
  <c r="AL649" i="14"/>
  <c r="AM640" i="14"/>
  <c r="CF657" i="14"/>
  <c r="CH657" i="14" s="1"/>
  <c r="CK657" i="14"/>
  <c r="AP705" i="14"/>
  <c r="AN707" i="14"/>
  <c r="AU623" i="14"/>
  <c r="AZ583" i="14"/>
  <c r="AR627" i="14"/>
  <c r="AR617" i="14"/>
  <c r="AW605" i="14"/>
  <c r="AU598" i="14"/>
  <c r="BG598" i="14"/>
  <c r="AW599" i="14"/>
  <c r="BE599" i="14"/>
  <c r="AU600" i="14"/>
  <c r="AU599" i="14" s="1"/>
  <c r="BC600" i="14"/>
  <c r="BC599" i="14" s="1"/>
  <c r="BG600" i="14"/>
  <c r="AQ613" i="14"/>
  <c r="AP626" i="14"/>
  <c r="AL632" i="14"/>
  <c r="AR639" i="14"/>
  <c r="AT639" i="14" s="1"/>
  <c r="AU639" i="14"/>
  <c r="BN655" i="14"/>
  <c r="BB657" i="14"/>
  <c r="BH657" i="14" s="1"/>
  <c r="BH665" i="14" s="1"/>
  <c r="AR664" i="14"/>
  <c r="AT664" i="14" s="1"/>
  <c r="BJ665" i="14"/>
  <c r="BL679" i="14"/>
  <c r="AO706" i="14"/>
  <c r="AT714" i="14"/>
  <c r="AQ715" i="14"/>
  <c r="AT715" i="14" s="1"/>
  <c r="BL745" i="14"/>
  <c r="BK745" i="14"/>
  <c r="BO765" i="14"/>
  <c r="BJ756" i="14"/>
  <c r="BJ739" i="14" s="1"/>
  <c r="BL765" i="14"/>
  <c r="BQ729" i="14" s="1"/>
  <c r="AT638" i="14"/>
  <c r="AR640" i="14"/>
  <c r="AQ647" i="14"/>
  <c r="AQ649" i="14" s="1"/>
  <c r="BB671" i="14"/>
  <c r="AW673" i="14"/>
  <c r="AY671" i="14"/>
  <c r="BL678" i="14"/>
  <c r="BL680" i="14"/>
  <c r="AQ705" i="14"/>
  <c r="AQ707" i="14" s="1"/>
  <c r="AU707" i="14" s="1"/>
  <c r="AT705" i="14"/>
  <c r="AR707" i="14"/>
  <c r="AU706" i="14"/>
  <c r="AP647" i="14"/>
  <c r="AR657" i="14"/>
  <c r="AT657" i="14" s="1"/>
  <c r="AU657" i="14"/>
  <c r="BB664" i="14"/>
  <c r="AW664" i="14"/>
  <c r="AY664" i="14" s="1"/>
  <c r="AX665" i="14"/>
  <c r="BB665" i="14" s="1"/>
  <c r="AL716" i="14"/>
  <c r="AO716" i="14" s="1"/>
  <c r="AO714" i="14"/>
  <c r="BK746" i="14"/>
  <c r="AS640" i="14"/>
  <c r="AM645" i="14"/>
  <c r="AO645" i="14" s="1"/>
  <c r="AP645" i="14"/>
  <c r="AS647" i="14"/>
  <c r="BI673" i="14"/>
  <c r="BL673" i="14"/>
  <c r="AM707" i="14"/>
  <c r="AU705" i="14"/>
  <c r="AS716" i="14"/>
  <c r="BN729" i="14"/>
  <c r="BH747" i="14"/>
  <c r="BL747" i="14" s="1"/>
  <c r="AL705" i="14"/>
  <c r="AO705" i="14" s="1"/>
  <c r="BN738" i="14"/>
  <c r="Z44" i="9"/>
  <c r="Z43" i="9"/>
  <c r="AQ477" i="14" l="1"/>
  <c r="AQ475" i="14"/>
  <c r="AQ471" i="14"/>
  <c r="B41" i="9"/>
  <c r="BA373" i="14"/>
  <c r="AX383" i="14"/>
  <c r="BC101" i="14"/>
  <c r="BC102" i="14"/>
  <c r="BE170" i="14"/>
  <c r="BE164" i="14"/>
  <c r="BE162" i="14"/>
  <c r="AZ136" i="14"/>
  <c r="BE104" i="14"/>
  <c r="BE106" i="14"/>
  <c r="AZ148" i="14"/>
  <c r="BE102" i="14"/>
  <c r="BE101" i="14"/>
  <c r="BE110" i="14"/>
  <c r="Z42" i="9"/>
  <c r="Z51" i="9"/>
  <c r="AB51" i="9"/>
  <c r="BE469" i="14"/>
  <c r="BK678" i="14"/>
  <c r="AY211" i="14"/>
  <c r="BC179" i="14"/>
  <c r="AU237" i="14"/>
  <c r="AT257" i="14"/>
  <c r="AR91" i="15"/>
  <c r="AN95" i="15"/>
  <c r="BA404" i="14"/>
  <c r="BA398" i="14"/>
  <c r="AS613" i="14"/>
  <c r="BC507" i="14"/>
  <c r="AV469" i="14"/>
  <c r="BF506" i="14"/>
  <c r="AT468" i="14"/>
  <c r="AP473" i="14"/>
  <c r="BA396" i="14"/>
  <c r="AL428" i="14"/>
  <c r="AJ95" i="15"/>
  <c r="AI90" i="15"/>
  <c r="X9" i="15"/>
  <c r="X25" i="15"/>
  <c r="AT12" i="15"/>
  <c r="X22" i="15"/>
  <c r="X23" i="15"/>
  <c r="AT511" i="14"/>
  <c r="AT507" i="14"/>
  <c r="AL229" i="14"/>
  <c r="AL223" i="14"/>
  <c r="AT542" i="14"/>
  <c r="AT541" i="14"/>
  <c r="BE342" i="14"/>
  <c r="AZ373" i="14"/>
  <c r="BF344" i="14"/>
  <c r="BE344" i="14"/>
  <c r="AW342" i="14"/>
  <c r="AW348" i="14"/>
  <c r="AR373" i="14"/>
  <c r="AN90" i="15"/>
  <c r="AN93" i="15"/>
  <c r="AN99" i="15"/>
  <c r="BK664" i="14"/>
  <c r="BI665" i="14"/>
  <c r="AW240" i="14"/>
  <c r="AV257" i="14"/>
  <c r="AR268" i="14"/>
  <c r="Z41" i="9"/>
  <c r="AB50" i="9"/>
  <c r="Z50" i="9"/>
  <c r="AL238" i="14"/>
  <c r="AL237" i="14"/>
  <c r="AZ459" i="14"/>
  <c r="AZ451" i="14"/>
  <c r="BE121" i="14"/>
  <c r="BE127" i="14"/>
  <c r="BE118" i="14"/>
  <c r="BE119" i="14"/>
  <c r="AZ140" i="14"/>
  <c r="BG102" i="14"/>
  <c r="BG110" i="14"/>
  <c r="AO488" i="14"/>
  <c r="BD339" i="14"/>
  <c r="AT473" i="14"/>
  <c r="AT510" i="14"/>
  <c r="AT513" i="14" s="1"/>
  <c r="AD72" i="15"/>
  <c r="AD80" i="15"/>
  <c r="AU225" i="14"/>
  <c r="AT223" i="14"/>
  <c r="AT221" i="14"/>
  <c r="BK756" i="14"/>
  <c r="BP756" i="14"/>
  <c r="BI757" i="14"/>
  <c r="BP747" i="14"/>
  <c r="AT178" i="14"/>
  <c r="AT187" i="14"/>
  <c r="AT181" i="14"/>
  <c r="Z52" i="9"/>
  <c r="AB52" i="9"/>
  <c r="AU647" i="14"/>
  <c r="AB49" i="9"/>
  <c r="Z49" i="9"/>
  <c r="AV598" i="14"/>
  <c r="AV601" i="14"/>
  <c r="AW603" i="14"/>
  <c r="AQ488" i="14"/>
  <c r="BD599" i="14"/>
  <c r="AT599" i="14"/>
  <c r="AM475" i="14"/>
  <c r="AR468" i="14"/>
  <c r="AW276" i="14"/>
  <c r="BC509" i="14"/>
  <c r="AU356" i="14"/>
  <c r="BC344" i="14"/>
  <c r="AV310" i="14"/>
  <c r="AZ453" i="14"/>
  <c r="BF509" i="14"/>
  <c r="AL438" i="14"/>
  <c r="AT179" i="14"/>
  <c r="BE161" i="14"/>
  <c r="AT220" i="14"/>
  <c r="AU183" i="14"/>
  <c r="BG104" i="14"/>
  <c r="AW450" i="14"/>
  <c r="BD277" i="14"/>
  <c r="AZ322" i="14"/>
  <c r="AR179" i="14"/>
  <c r="AA27" i="14"/>
  <c r="AE32" i="14"/>
  <c r="AR99" i="15"/>
  <c r="AL72" i="15"/>
  <c r="W23" i="15"/>
  <c r="W22" i="15"/>
  <c r="AD74" i="15"/>
  <c r="AN529" i="14"/>
  <c r="AN528" i="14"/>
  <c r="BE223" i="14"/>
  <c r="AZ264" i="14"/>
  <c r="AZ253" i="14"/>
  <c r="BE221" i="14"/>
  <c r="AO715" i="14"/>
  <c r="AP715" i="14"/>
  <c r="AR170" i="14"/>
  <c r="AR164" i="14"/>
  <c r="AN207" i="14"/>
  <c r="AN195" i="14"/>
  <c r="AR162" i="14"/>
  <c r="BF104" i="14"/>
  <c r="BF106" i="14"/>
  <c r="BA148" i="14"/>
  <c r="BF102" i="14"/>
  <c r="BF101" i="14"/>
  <c r="AQ195" i="14"/>
  <c r="AQ170" i="14"/>
  <c r="AQ166" i="14"/>
  <c r="AQ80" i="14"/>
  <c r="AQ91" i="14"/>
  <c r="AU80" i="14"/>
  <c r="AU524" i="14"/>
  <c r="AU478" i="14"/>
  <c r="AU469" i="14"/>
  <c r="AN170" i="14"/>
  <c r="AN164" i="14"/>
  <c r="AN162" i="14"/>
  <c r="AN220" i="14"/>
  <c r="AN221" i="14"/>
  <c r="AN253" i="14"/>
  <c r="AR161" i="14"/>
  <c r="AY298" i="14"/>
  <c r="AV314" i="14"/>
  <c r="AS207" i="14"/>
  <c r="AO71" i="15"/>
  <c r="BD496" i="14"/>
  <c r="BD490" i="14"/>
  <c r="AT276" i="14"/>
  <c r="AT285" i="14"/>
  <c r="AT529" i="14"/>
  <c r="AT528" i="14"/>
  <c r="AL542" i="14"/>
  <c r="AL541" i="14"/>
  <c r="BA516" i="14"/>
  <c r="BA515" i="14"/>
  <c r="AL199" i="14"/>
  <c r="AP187" i="14"/>
  <c r="AM183" i="14"/>
  <c r="AL187" i="14"/>
  <c r="AM541" i="14"/>
  <c r="AM542" i="14"/>
  <c r="AP529" i="14"/>
  <c r="AP528" i="14"/>
  <c r="BC348" i="14"/>
  <c r="BC340" i="14"/>
  <c r="AL178" i="14"/>
  <c r="Z1" i="15"/>
  <c r="AE95" i="15"/>
  <c r="AE93" i="15"/>
  <c r="AE99" i="15"/>
  <c r="AE91" i="15"/>
  <c r="AW99" i="15"/>
  <c r="AW93" i="15"/>
  <c r="AT74" i="15"/>
  <c r="AT80" i="15"/>
  <c r="AQ24" i="15"/>
  <c r="U21" i="15"/>
  <c r="U25" i="15"/>
  <c r="U22" i="15"/>
  <c r="AQ12" i="15"/>
  <c r="AE90" i="15"/>
  <c r="AQ90" i="15"/>
  <c r="AQ95" i="15"/>
  <c r="AQ93" i="15"/>
  <c r="AQ99" i="15"/>
  <c r="AS90" i="15"/>
  <c r="AK99" i="15"/>
  <c r="AK93" i="15"/>
  <c r="AK95" i="15"/>
  <c r="AW80" i="15"/>
  <c r="AB15" i="15" s="1"/>
  <c r="AX74" i="15"/>
  <c r="AB8" i="15"/>
  <c r="AB6" i="15" s="1"/>
  <c r="AW71" i="15"/>
  <c r="AK74" i="15"/>
  <c r="AK71" i="15"/>
  <c r="AK80" i="15"/>
  <c r="AN80" i="15"/>
  <c r="AN72" i="15"/>
  <c r="AN71" i="15"/>
  <c r="AN74" i="15"/>
  <c r="AI74" i="15"/>
  <c r="AI80" i="15"/>
  <c r="AI72" i="15"/>
  <c r="AL91" i="15"/>
  <c r="AL95" i="15"/>
  <c r="AL93" i="15"/>
  <c r="AL99" i="15"/>
  <c r="AH80" i="15"/>
  <c r="AH74" i="15"/>
  <c r="AK72" i="15"/>
  <c r="AL74" i="15"/>
  <c r="AL80" i="15"/>
  <c r="Z27" i="15"/>
  <c r="Z25" i="15"/>
  <c r="Z28" i="15"/>
  <c r="Z21" i="15"/>
  <c r="Z22" i="15"/>
  <c r="AU90" i="15"/>
  <c r="AU93" i="15"/>
  <c r="AU99" i="15"/>
  <c r="AU91" i="15"/>
  <c r="AG99" i="15"/>
  <c r="AG95" i="15"/>
  <c r="AG93" i="15"/>
  <c r="AR80" i="15"/>
  <c r="AR74" i="15"/>
  <c r="AR71" i="15"/>
  <c r="AR72" i="15"/>
  <c r="AT72" i="15"/>
  <c r="AW91" i="15"/>
  <c r="AG91" i="15"/>
  <c r="AS80" i="15"/>
  <c r="AS71" i="15"/>
  <c r="AS74" i="15"/>
  <c r="AM95" i="15"/>
  <c r="AM93" i="15"/>
  <c r="AM99" i="15"/>
  <c r="AM91" i="15"/>
  <c r="AW90" i="15"/>
  <c r="AO99" i="15"/>
  <c r="AO93" i="15"/>
  <c r="AO95" i="15"/>
  <c r="AG90" i="15"/>
  <c r="AG74" i="15"/>
  <c r="AG80" i="15"/>
  <c r="AG71" i="15"/>
  <c r="AF80" i="15"/>
  <c r="AF74" i="15"/>
  <c r="AF72" i="15"/>
  <c r="AF71" i="15"/>
  <c r="AJ80" i="15"/>
  <c r="AJ74" i="15"/>
  <c r="AJ71" i="15"/>
  <c r="AJ72" i="15"/>
  <c r="AI71" i="15"/>
  <c r="AK91" i="15"/>
  <c r="AP91" i="15"/>
  <c r="AP95" i="15"/>
  <c r="AP93" i="15"/>
  <c r="AP99" i="15"/>
  <c r="AL90" i="15"/>
  <c r="AP74" i="15"/>
  <c r="AP80" i="15"/>
  <c r="V25" i="15"/>
  <c r="AR24" i="15"/>
  <c r="V21" i="15"/>
  <c r="AR12" i="15"/>
  <c r="AT8" i="15"/>
  <c r="AT20" i="15"/>
  <c r="X7" i="15"/>
  <c r="X11" i="15"/>
  <c r="AS12" i="15"/>
  <c r="W25" i="15"/>
  <c r="AS24" i="15"/>
  <c r="W21" i="15"/>
  <c r="V23" i="15"/>
  <c r="X8" i="15"/>
  <c r="AI95" i="15"/>
  <c r="AI93" i="15"/>
  <c r="AI99" i="15"/>
  <c r="AI91" i="15"/>
  <c r="AS99" i="15"/>
  <c r="AS93" i="15"/>
  <c r="AF95" i="15"/>
  <c r="AV80" i="15"/>
  <c r="AW74" i="15"/>
  <c r="AB9" i="15" s="1"/>
  <c r="AV74" i="15"/>
  <c r="AV72" i="15"/>
  <c r="AV71" i="15"/>
  <c r="AU74" i="15"/>
  <c r="AU72" i="15"/>
  <c r="AU80" i="15"/>
  <c r="AQ74" i="15"/>
  <c r="AQ80" i="15"/>
  <c r="AQ72" i="15"/>
  <c r="AH91" i="15"/>
  <c r="AH95" i="15"/>
  <c r="AH93" i="15"/>
  <c r="AH99" i="15"/>
  <c r="AT71" i="15"/>
  <c r="AU24" i="15"/>
  <c r="Y21" i="15"/>
  <c r="Y25" i="15"/>
  <c r="AU12" i="15"/>
  <c r="Y23" i="15"/>
  <c r="U23" i="15"/>
  <c r="BA497" i="14"/>
  <c r="BA490" i="14"/>
  <c r="BA492" i="14"/>
  <c r="BA496" i="14"/>
  <c r="BA488" i="14"/>
  <c r="BB497" i="14"/>
  <c r="BB490" i="14"/>
  <c r="BB492" i="14"/>
  <c r="BB496" i="14"/>
  <c r="AQ421" i="14"/>
  <c r="AQ412" i="14"/>
  <c r="AQ415" i="14"/>
  <c r="AQ417" i="14"/>
  <c r="AM442" i="14"/>
  <c r="AM432" i="14"/>
  <c r="AQ413" i="14"/>
  <c r="AL442" i="14"/>
  <c r="AL432" i="14"/>
  <c r="AP417" i="14"/>
  <c r="AP415" i="14"/>
  <c r="AP421" i="14"/>
  <c r="AP413" i="14"/>
  <c r="AP412" i="14"/>
  <c r="AQ400" i="14"/>
  <c r="AQ398" i="14"/>
  <c r="AQ404" i="14"/>
  <c r="AM428" i="14"/>
  <c r="AM438" i="14"/>
  <c r="AQ395" i="14"/>
  <c r="AO541" i="14"/>
  <c r="AO542" i="14"/>
  <c r="AO540" i="14"/>
  <c r="AU492" i="14"/>
  <c r="AU496" i="14"/>
  <c r="AU497" i="14"/>
  <c r="AU490" i="14"/>
  <c r="AM514" i="14"/>
  <c r="AM516" i="14" s="1"/>
  <c r="AM495" i="14"/>
  <c r="AM497" i="14" s="1"/>
  <c r="AM493" i="14"/>
  <c r="AO588" i="14"/>
  <c r="AO584" i="14"/>
  <c r="AO264" i="14"/>
  <c r="AS229" i="14"/>
  <c r="AS225" i="14"/>
  <c r="AS253" i="14"/>
  <c r="AS220" i="14"/>
  <c r="AO253" i="14"/>
  <c r="AS223" i="14"/>
  <c r="AT225" i="14"/>
  <c r="AP264" i="14"/>
  <c r="AS476" i="14"/>
  <c r="AS478" i="14" s="1"/>
  <c r="AS475" i="14"/>
  <c r="AS458" i="14"/>
  <c r="AS438" i="14"/>
  <c r="AS428" i="14"/>
  <c r="AX400" i="14"/>
  <c r="AX398" i="14"/>
  <c r="AX404" i="14"/>
  <c r="AX396" i="14"/>
  <c r="AX395" i="14"/>
  <c r="AM623" i="14"/>
  <c r="AQ589" i="14"/>
  <c r="AM613" i="14"/>
  <c r="AN622" i="14"/>
  <c r="AR588" i="14"/>
  <c r="AN612" i="14"/>
  <c r="AR584" i="14"/>
  <c r="AR582" i="14" s="1"/>
  <c r="AN584" i="14"/>
  <c r="AN582" i="14" s="1"/>
  <c r="AN588" i="14"/>
  <c r="BF359" i="14"/>
  <c r="BA387" i="14"/>
  <c r="BA377" i="14"/>
  <c r="BF365" i="14"/>
  <c r="BF361" i="14"/>
  <c r="BF357" i="14"/>
  <c r="BF356" i="14"/>
  <c r="AQ229" i="14"/>
  <c r="AQ223" i="14"/>
  <c r="AM253" i="14"/>
  <c r="AM264" i="14"/>
  <c r="AQ225" i="14"/>
  <c r="AN264" i="14"/>
  <c r="AQ221" i="14"/>
  <c r="AR225" i="14"/>
  <c r="AU529" i="14"/>
  <c r="AN417" i="14"/>
  <c r="AN421" i="14"/>
  <c r="AN415" i="14"/>
  <c r="AN413" i="14"/>
  <c r="AN605" i="14"/>
  <c r="AW417" i="14"/>
  <c r="AW415" i="14"/>
  <c r="AR442" i="14"/>
  <c r="AR432" i="14"/>
  <c r="AW421" i="14"/>
  <c r="AW413" i="14"/>
  <c r="AR438" i="14"/>
  <c r="AW398" i="14"/>
  <c r="AR428" i="14"/>
  <c r="AW404" i="14"/>
  <c r="AW400" i="14"/>
  <c r="AV428" i="14"/>
  <c r="AY365" i="14"/>
  <c r="AY361" i="14"/>
  <c r="AT387" i="14"/>
  <c r="AY359" i="14"/>
  <c r="AT377" i="14"/>
  <c r="AL491" i="14"/>
  <c r="AL490" i="14" s="1"/>
  <c r="AL453" i="14"/>
  <c r="AL459" i="14"/>
  <c r="AM627" i="14"/>
  <c r="AQ605" i="14"/>
  <c r="AM617" i="14"/>
  <c r="AY604" i="14"/>
  <c r="AY600" i="14"/>
  <c r="AY598" i="14" s="1"/>
  <c r="AT626" i="14"/>
  <c r="AT616" i="14"/>
  <c r="AW622" i="14"/>
  <c r="AW612" i="14"/>
  <c r="BB584" i="14"/>
  <c r="BB582" i="14" s="1"/>
  <c r="BB588" i="14"/>
  <c r="AT400" i="14"/>
  <c r="AT398" i="14"/>
  <c r="AT404" i="14"/>
  <c r="AT396" i="14"/>
  <c r="AU528" i="14"/>
  <c r="AU525" i="14"/>
  <c r="AU527" i="14" s="1"/>
  <c r="AW314" i="14"/>
  <c r="BB296" i="14"/>
  <c r="BB298" i="14"/>
  <c r="BB302" i="14"/>
  <c r="AW326" i="14"/>
  <c r="BB294" i="14"/>
  <c r="AM490" i="14"/>
  <c r="AO302" i="14"/>
  <c r="AO298" i="14"/>
  <c r="AO296" i="14"/>
  <c r="AO314" i="14"/>
  <c r="AO293" i="14"/>
  <c r="BF302" i="14"/>
  <c r="BA326" i="14"/>
  <c r="BA314" i="14"/>
  <c r="BF296" i="14"/>
  <c r="BF298" i="14"/>
  <c r="BF294" i="14"/>
  <c r="AL707" i="14"/>
  <c r="AO707" i="14"/>
  <c r="AT707" i="14"/>
  <c r="BL756" i="14"/>
  <c r="BL757" i="14" s="1"/>
  <c r="BJ757" i="14"/>
  <c r="BH682" i="14"/>
  <c r="BI666" i="14"/>
  <c r="BG607" i="14"/>
  <c r="BG603" i="14"/>
  <c r="BG601" i="14"/>
  <c r="BG599" i="14"/>
  <c r="AV583" i="14"/>
  <c r="AQ617" i="14"/>
  <c r="AV516" i="14"/>
  <c r="AV511" i="14"/>
  <c r="AV515" i="14"/>
  <c r="AV509" i="14"/>
  <c r="AV507" i="14"/>
  <c r="AZ506" i="14"/>
  <c r="AQ628" i="14"/>
  <c r="AQ511" i="14"/>
  <c r="AQ509" i="14"/>
  <c r="AQ507" i="14"/>
  <c r="AQ506" i="14"/>
  <c r="AW497" i="14"/>
  <c r="AW490" i="14"/>
  <c r="AW496" i="14"/>
  <c r="AW492" i="14"/>
  <c r="BC488" i="14"/>
  <c r="BE509" i="14"/>
  <c r="BE506" i="14"/>
  <c r="BE516" i="14"/>
  <c r="BE511" i="14"/>
  <c r="BE515" i="14"/>
  <c r="AR488" i="14"/>
  <c r="AX497" i="14"/>
  <c r="AX490" i="14"/>
  <c r="AX492" i="14"/>
  <c r="AX488" i="14"/>
  <c r="AX496" i="14"/>
  <c r="AW511" i="14"/>
  <c r="AM494" i="14"/>
  <c r="AX442" i="14"/>
  <c r="AX432" i="14"/>
  <c r="BC421" i="14"/>
  <c r="BC417" i="14"/>
  <c r="BC415" i="14"/>
  <c r="BC412" i="14"/>
  <c r="BD417" i="14"/>
  <c r="AY442" i="14"/>
  <c r="BC413" i="14"/>
  <c r="AM421" i="14"/>
  <c r="AM412" i="14"/>
  <c r="AM417" i="14"/>
  <c r="AM415" i="14"/>
  <c r="AN515" i="14"/>
  <c r="AN511" i="14"/>
  <c r="AN509" i="14"/>
  <c r="AN507" i="14"/>
  <c r="BE478" i="14"/>
  <c r="BE471" i="14"/>
  <c r="BE477" i="14"/>
  <c r="BE473" i="14"/>
  <c r="BE468" i="14"/>
  <c r="BG459" i="14"/>
  <c r="BH452" i="14"/>
  <c r="BI453" i="14" s="1"/>
  <c r="BG460" i="14"/>
  <c r="BG450" i="14"/>
  <c r="BG455" i="14"/>
  <c r="BI452" i="14"/>
  <c r="BG453" i="14"/>
  <c r="BG451" i="14"/>
  <c r="BB417" i="14"/>
  <c r="BB415" i="14"/>
  <c r="AW442" i="14"/>
  <c r="AW432" i="14"/>
  <c r="BB421" i="14"/>
  <c r="BB413" i="14"/>
  <c r="BB412" i="14"/>
  <c r="AL415" i="14"/>
  <c r="AL421" i="14"/>
  <c r="AL413" i="14"/>
  <c r="AL412" i="14"/>
  <c r="AW626" i="14"/>
  <c r="AW616" i="14"/>
  <c r="BB604" i="14"/>
  <c r="BB600" i="14"/>
  <c r="BB598" i="14" s="1"/>
  <c r="AX438" i="14"/>
  <c r="AX428" i="14"/>
  <c r="BC400" i="14"/>
  <c r="BC398" i="14"/>
  <c r="BC404" i="14"/>
  <c r="BC396" i="14"/>
  <c r="BC395" i="14"/>
  <c r="AM400" i="14"/>
  <c r="AM398" i="14"/>
  <c r="AM404" i="14"/>
  <c r="AM395" i="14"/>
  <c r="AM585" i="14"/>
  <c r="AM591" i="14"/>
  <c r="AX515" i="14"/>
  <c r="AX516" i="14"/>
  <c r="AX509" i="14"/>
  <c r="AX511" i="14"/>
  <c r="AP511" i="14"/>
  <c r="AP472" i="14"/>
  <c r="AP510" i="14"/>
  <c r="AX506" i="14"/>
  <c r="AW488" i="14"/>
  <c r="AU487" i="14"/>
  <c r="AM455" i="14"/>
  <c r="AN589" i="14"/>
  <c r="AO622" i="14"/>
  <c r="AO612" i="14"/>
  <c r="AS588" i="14"/>
  <c r="AS584" i="14"/>
  <c r="AP622" i="14"/>
  <c r="AS582" i="14"/>
  <c r="AS471" i="14"/>
  <c r="BA417" i="14"/>
  <c r="BA415" i="14"/>
  <c r="BA421" i="14"/>
  <c r="BA413" i="14"/>
  <c r="AV442" i="14"/>
  <c r="AV432" i="14"/>
  <c r="BA412" i="14"/>
  <c r="AO398" i="14"/>
  <c r="AO404" i="14"/>
  <c r="AO400" i="14"/>
  <c r="AP400" i="14"/>
  <c r="AO396" i="14"/>
  <c r="AQ396" i="14"/>
  <c r="AM583" i="14"/>
  <c r="BD404" i="14"/>
  <c r="AY428" i="14"/>
  <c r="BD398" i="14"/>
  <c r="AY438" i="14"/>
  <c r="BD400" i="14"/>
  <c r="AZ361" i="14"/>
  <c r="AP387" i="14"/>
  <c r="AP377" i="14"/>
  <c r="AU365" i="14"/>
  <c r="AU361" i="14"/>
  <c r="AU359" i="14"/>
  <c r="AU357" i="14"/>
  <c r="AQ387" i="14"/>
  <c r="AY357" i="14"/>
  <c r="AY356" i="14"/>
  <c r="AQ253" i="14"/>
  <c r="AT509" i="14"/>
  <c r="AN472" i="14"/>
  <c r="AQ510" i="14"/>
  <c r="AM476" i="14"/>
  <c r="AM478" i="14" s="1"/>
  <c r="AM458" i="14"/>
  <c r="AM460" i="14" s="1"/>
  <c r="AM474" i="14"/>
  <c r="AM477" i="14"/>
  <c r="AZ455" i="14"/>
  <c r="BE417" i="14"/>
  <c r="BE415" i="14"/>
  <c r="AZ442" i="14"/>
  <c r="AZ432" i="14"/>
  <c r="BE421" i="14"/>
  <c r="BE413" i="14"/>
  <c r="AP716" i="14"/>
  <c r="BF511" i="14"/>
  <c r="AL471" i="14"/>
  <c r="AV417" i="14"/>
  <c r="AQ442" i="14"/>
  <c r="AQ432" i="14"/>
  <c r="AV421" i="14"/>
  <c r="AV415" i="14"/>
  <c r="AV412" i="14"/>
  <c r="AM413" i="14"/>
  <c r="AN412" i="14"/>
  <c r="AO438" i="14"/>
  <c r="AO428" i="14"/>
  <c r="AS400" i="14"/>
  <c r="AS404" i="14"/>
  <c r="AS398" i="14"/>
  <c r="AV623" i="14"/>
  <c r="AV613" i="14"/>
  <c r="BA583" i="14"/>
  <c r="BA589" i="14"/>
  <c r="AW396" i="14"/>
  <c r="AS396" i="14"/>
  <c r="AT395" i="14"/>
  <c r="AP584" i="14"/>
  <c r="AP582" i="14"/>
  <c r="AL612" i="14"/>
  <c r="AP588" i="14"/>
  <c r="AL622" i="14"/>
  <c r="AP612" i="14"/>
  <c r="AL584" i="14"/>
  <c r="AM587" i="14" s="1"/>
  <c r="AL588" i="14"/>
  <c r="AX359" i="14"/>
  <c r="AS377" i="14"/>
  <c r="AX365" i="14"/>
  <c r="AX361" i="14"/>
  <c r="AS387" i="14"/>
  <c r="AW377" i="14"/>
  <c r="AX356" i="14"/>
  <c r="BA264" i="14"/>
  <c r="BA253" i="14"/>
  <c r="BF225" i="14"/>
  <c r="BF223" i="14"/>
  <c r="BF229" i="14"/>
  <c r="BF220" i="14"/>
  <c r="AM496" i="14"/>
  <c r="AL326" i="14"/>
  <c r="AO640" i="14"/>
  <c r="AM649" i="14"/>
  <c r="AO649" i="14" s="1"/>
  <c r="AP640" i="14"/>
  <c r="AN649" i="14"/>
  <c r="AP649" i="14" s="1"/>
  <c r="AS628" i="14"/>
  <c r="AX601" i="14"/>
  <c r="AX607" i="14"/>
  <c r="AX603" i="14"/>
  <c r="AU511" i="14"/>
  <c r="AU516" i="14"/>
  <c r="AU515" i="14"/>
  <c r="AU509" i="14"/>
  <c r="AL488" i="14"/>
  <c r="AL617" i="14"/>
  <c r="AL627" i="14"/>
  <c r="AP605" i="14"/>
  <c r="AP600" i="14"/>
  <c r="AP599" i="14" s="1"/>
  <c r="BB515" i="14"/>
  <c r="BB511" i="14"/>
  <c r="BB509" i="14"/>
  <c r="BB516" i="14"/>
  <c r="BC492" i="14"/>
  <c r="BC496" i="14"/>
  <c r="BC490" i="14"/>
  <c r="BC497" i="14"/>
  <c r="AT640" i="14"/>
  <c r="BC607" i="14"/>
  <c r="BC601" i="14"/>
  <c r="BE603" i="14"/>
  <c r="BE601" i="14"/>
  <c r="BE607" i="14"/>
  <c r="AP542" i="14"/>
  <c r="AP541" i="14"/>
  <c r="AX598" i="14"/>
  <c r="AN542" i="14"/>
  <c r="AN540" i="14"/>
  <c r="AN541" i="14"/>
  <c r="BB487" i="14"/>
  <c r="AL487" i="14"/>
  <c r="AY540" i="14"/>
  <c r="AY544" i="14"/>
  <c r="AY543" i="14"/>
  <c r="AS492" i="14"/>
  <c r="AO506" i="14"/>
  <c r="AO511" i="14"/>
  <c r="AT492" i="14"/>
  <c r="AT488" i="14"/>
  <c r="AT491" i="14"/>
  <c r="BD527" i="14"/>
  <c r="BD531" i="14"/>
  <c r="AR491" i="14"/>
  <c r="AR496" i="14" s="1"/>
  <c r="AR455" i="14"/>
  <c r="AR459" i="14"/>
  <c r="AR453" i="14"/>
  <c r="AR451" i="14"/>
  <c r="AT442" i="14"/>
  <c r="AT432" i="14"/>
  <c r="AY421" i="14"/>
  <c r="AY412" i="14"/>
  <c r="AY415" i="14"/>
  <c r="AY417" i="14"/>
  <c r="AY413" i="14"/>
  <c r="AW627" i="14"/>
  <c r="AW617" i="14"/>
  <c r="BB605" i="14"/>
  <c r="BB599" i="14"/>
  <c r="AQ600" i="14"/>
  <c r="AM607" i="14"/>
  <c r="AM603" i="14"/>
  <c r="AM601" i="14"/>
  <c r="AR624" i="14"/>
  <c r="AW591" i="14"/>
  <c r="AW587" i="14"/>
  <c r="AW585" i="14"/>
  <c r="BD516" i="14"/>
  <c r="BD511" i="14"/>
  <c r="BD515" i="14"/>
  <c r="BD509" i="14"/>
  <c r="AR492" i="14"/>
  <c r="AO472" i="14"/>
  <c r="AO510" i="14"/>
  <c r="AO473" i="14"/>
  <c r="AO468" i="14"/>
  <c r="AS474" i="14"/>
  <c r="AV523" i="14"/>
  <c r="AV455" i="14"/>
  <c r="AV460" i="14"/>
  <c r="AV459" i="14"/>
  <c r="AV451" i="14"/>
  <c r="AV453" i="14"/>
  <c r="AX417" i="14"/>
  <c r="AX415" i="14"/>
  <c r="AS442" i="14"/>
  <c r="AS432" i="14"/>
  <c r="AX421" i="14"/>
  <c r="AX413" i="14"/>
  <c r="AX412" i="14"/>
  <c r="AV627" i="14"/>
  <c r="AV617" i="14"/>
  <c r="BA605" i="14"/>
  <c r="AT438" i="14"/>
  <c r="AT428" i="14"/>
  <c r="AY400" i="14"/>
  <c r="AY398" i="14"/>
  <c r="AY404" i="14"/>
  <c r="AY396" i="14"/>
  <c r="AY395" i="14"/>
  <c r="AU438" i="14"/>
  <c r="AW623" i="14"/>
  <c r="AW613" i="14"/>
  <c r="BB589" i="14"/>
  <c r="AQ584" i="14"/>
  <c r="AQ583" i="14" s="1"/>
  <c r="AN513" i="14"/>
  <c r="AS529" i="14"/>
  <c r="AS528" i="14"/>
  <c r="AO529" i="14"/>
  <c r="AO528" i="14"/>
  <c r="AS488" i="14"/>
  <c r="AV524" i="14"/>
  <c r="AV478" i="14"/>
  <c r="AV477" i="14"/>
  <c r="AV473" i="14"/>
  <c r="AV471" i="14"/>
  <c r="AW473" i="14"/>
  <c r="AN623" i="14"/>
  <c r="AR583" i="14"/>
  <c r="AN613" i="14"/>
  <c r="AR589" i="14"/>
  <c r="AV622" i="14"/>
  <c r="BA588" i="14"/>
  <c r="BA584" i="14"/>
  <c r="AV612" i="14"/>
  <c r="BA582" i="14"/>
  <c r="BE591" i="14"/>
  <c r="BE587" i="14"/>
  <c r="BE585" i="14"/>
  <c r="AS513" i="14"/>
  <c r="AS512" i="14"/>
  <c r="AR415" i="14"/>
  <c r="AR421" i="14"/>
  <c r="AR417" i="14"/>
  <c r="AN442" i="14"/>
  <c r="AN432" i="14"/>
  <c r="AO442" i="14"/>
  <c r="AZ400" i="14"/>
  <c r="AV404" i="14"/>
  <c r="AQ428" i="14"/>
  <c r="AV398" i="14"/>
  <c r="AQ438" i="14"/>
  <c r="AV400" i="14"/>
  <c r="BF293" i="14"/>
  <c r="AT515" i="14"/>
  <c r="AP491" i="14"/>
  <c r="AP496" i="14" s="1"/>
  <c r="AP453" i="14"/>
  <c r="AP459" i="14"/>
  <c r="AP455" i="14"/>
  <c r="AP450" i="14"/>
  <c r="AY605" i="14"/>
  <c r="AT617" i="14"/>
  <c r="AY599" i="14"/>
  <c r="AT627" i="14"/>
  <c r="AN627" i="14"/>
  <c r="AN617" i="14"/>
  <c r="AR605" i="14"/>
  <c r="AO417" i="14"/>
  <c r="AO415" i="14"/>
  <c r="AO421" i="14"/>
  <c r="AO413" i="14"/>
  <c r="AO432" i="14"/>
  <c r="AO604" i="14"/>
  <c r="AO600" i="14"/>
  <c r="AO598" i="14" s="1"/>
  <c r="AQ383" i="14"/>
  <c r="AQ373" i="14"/>
  <c r="AV348" i="14"/>
  <c r="AR383" i="14"/>
  <c r="AW344" i="14"/>
  <c r="AV344" i="14"/>
  <c r="AV342" i="14"/>
  <c r="AV340" i="14"/>
  <c r="AV339" i="14"/>
  <c r="AL458" i="14"/>
  <c r="AL460" i="14" s="1"/>
  <c r="AL476" i="14"/>
  <c r="AL478" i="14" s="1"/>
  <c r="AL475" i="14"/>
  <c r="AT476" i="14"/>
  <c r="AT478" i="14" s="1"/>
  <c r="AT474" i="14"/>
  <c r="AT458" i="14"/>
  <c r="AT460" i="14" s="1"/>
  <c r="BF453" i="14"/>
  <c r="BF523" i="14"/>
  <c r="BF459" i="14"/>
  <c r="BF455" i="14"/>
  <c r="BF460" i="14"/>
  <c r="BF450" i="14"/>
  <c r="AX453" i="14"/>
  <c r="AX460" i="14"/>
  <c r="AX459" i="14"/>
  <c r="AX455" i="14"/>
  <c r="AX523" i="14"/>
  <c r="AX450" i="14"/>
  <c r="AR412" i="14"/>
  <c r="AO589" i="14"/>
  <c r="AM492" i="14"/>
  <c r="AS417" i="14"/>
  <c r="AN296" i="14"/>
  <c r="AN294" i="14"/>
  <c r="AN302" i="14"/>
  <c r="AN298" i="14"/>
  <c r="AN293" i="14"/>
  <c r="AX281" i="14"/>
  <c r="AX279" i="14"/>
  <c r="AS322" i="14"/>
  <c r="AS310" i="14"/>
  <c r="AX285" i="14"/>
  <c r="AX276" i="14"/>
  <c r="AT322" i="14"/>
  <c r="AX277" i="14"/>
  <c r="AY587" i="14"/>
  <c r="AT624" i="14"/>
  <c r="AY591" i="14"/>
  <c r="AT614" i="14"/>
  <c r="AY582" i="14"/>
  <c r="AY585" i="14"/>
  <c r="AU506" i="14"/>
  <c r="AR511" i="14"/>
  <c r="AR515" i="14"/>
  <c r="BF417" i="14"/>
  <c r="BF415" i="14"/>
  <c r="BA442" i="14"/>
  <c r="BA432" i="14"/>
  <c r="BF421" i="14"/>
  <c r="BF413" i="14"/>
  <c r="BF412" i="14"/>
  <c r="AR507" i="14"/>
  <c r="AS541" i="14"/>
  <c r="AS540" i="14"/>
  <c r="AS542" i="14"/>
  <c r="AN514" i="14"/>
  <c r="AN516" i="14" s="1"/>
  <c r="AN495" i="14"/>
  <c r="AN497" i="14" s="1"/>
  <c r="AN494" i="14"/>
  <c r="BK747" i="14"/>
  <c r="AQ716" i="14"/>
  <c r="AT716" i="14" s="1"/>
  <c r="BI681" i="14"/>
  <c r="BI682" i="14" s="1"/>
  <c r="BK673" i="14"/>
  <c r="AS649" i="14"/>
  <c r="AU649" i="14" s="1"/>
  <c r="AS641" i="14"/>
  <c r="AU640" i="14"/>
  <c r="AU715" i="14"/>
  <c r="BB673" i="14"/>
  <c r="AY673" i="14"/>
  <c r="BM665" i="14"/>
  <c r="BO674" i="14" s="1"/>
  <c r="BJ666" i="14"/>
  <c r="BJ682" i="14"/>
  <c r="AR647" i="14"/>
  <c r="AT647" i="14" s="1"/>
  <c r="AU607" i="14"/>
  <c r="AU603" i="14"/>
  <c r="AU601" i="14"/>
  <c r="AP618" i="14"/>
  <c r="BC598" i="14"/>
  <c r="AP707" i="14"/>
  <c r="AS708" i="14"/>
  <c r="AP540" i="14"/>
  <c r="AY583" i="14"/>
  <c r="BA543" i="14"/>
  <c r="BA540" i="14"/>
  <c r="AR506" i="14"/>
  <c r="BG587" i="14"/>
  <c r="BG591" i="14"/>
  <c r="BG585" i="14"/>
  <c r="BG582" i="14"/>
  <c r="AS624" i="14"/>
  <c r="AS614" i="14"/>
  <c r="AX587" i="14"/>
  <c r="AX585" i="14"/>
  <c r="AX591" i="14"/>
  <c r="AX583" i="14"/>
  <c r="BG511" i="14"/>
  <c r="BG516" i="14"/>
  <c r="BG515" i="14"/>
  <c r="BG509" i="14"/>
  <c r="BG507" i="14"/>
  <c r="BE497" i="14"/>
  <c r="BE490" i="14"/>
  <c r="BE496" i="14"/>
  <c r="BE492" i="14"/>
  <c r="AO492" i="14"/>
  <c r="AU488" i="14"/>
  <c r="BA487" i="14"/>
  <c r="BD607" i="14"/>
  <c r="BD601" i="14"/>
  <c r="BD603" i="14"/>
  <c r="BF587" i="14"/>
  <c r="BF585" i="14"/>
  <c r="BF583" i="14"/>
  <c r="BF591" i="14"/>
  <c r="AU507" i="14"/>
  <c r="BF497" i="14"/>
  <c r="BF490" i="14"/>
  <c r="BF492" i="14"/>
  <c r="BF496" i="14"/>
  <c r="BF488" i="14"/>
  <c r="AP490" i="14"/>
  <c r="AP492" i="14"/>
  <c r="AP488" i="14"/>
  <c r="AS511" i="14"/>
  <c r="BD492" i="14"/>
  <c r="AP442" i="14"/>
  <c r="AP432" i="14"/>
  <c r="AU421" i="14"/>
  <c r="AU412" i="14"/>
  <c r="AU415" i="14"/>
  <c r="AU417" i="14"/>
  <c r="AU413" i="14"/>
  <c r="AZ516" i="14"/>
  <c r="AZ511" i="14"/>
  <c r="AZ515" i="14"/>
  <c r="AZ509" i="14"/>
  <c r="BB488" i="14"/>
  <c r="AQ491" i="14"/>
  <c r="AQ459" i="14"/>
  <c r="AQ455" i="14"/>
  <c r="AQ450" i="14"/>
  <c r="AQ453" i="14"/>
  <c r="AQ451" i="14"/>
  <c r="AT417" i="14"/>
  <c r="AT415" i="14"/>
  <c r="AT421" i="14"/>
  <c r="AT413" i="14"/>
  <c r="AT412" i="14"/>
  <c r="AT601" i="14"/>
  <c r="AT607" i="14"/>
  <c r="AL607" i="14"/>
  <c r="AL601" i="14"/>
  <c r="AL599" i="14"/>
  <c r="AP438" i="14"/>
  <c r="AP428" i="14"/>
  <c r="AU400" i="14"/>
  <c r="AU398" i="14"/>
  <c r="AU404" i="14"/>
  <c r="AU396" i="14"/>
  <c r="AU395" i="14"/>
  <c r="BB506" i="14"/>
  <c r="AT512" i="14"/>
  <c r="AU614" i="14"/>
  <c r="AZ585" i="14"/>
  <c r="AZ587" i="14"/>
  <c r="AZ591" i="14"/>
  <c r="AU624" i="14"/>
  <c r="AQ624" i="14"/>
  <c r="AV585" i="14"/>
  <c r="AQ614" i="14"/>
  <c r="AV587" i="14"/>
  <c r="AV591" i="14"/>
  <c r="AS527" i="14"/>
  <c r="AN490" i="14"/>
  <c r="BE488" i="14"/>
  <c r="BG492" i="14"/>
  <c r="BG496" i="14"/>
  <c r="BG497" i="14"/>
  <c r="BG490" i="14"/>
  <c r="BH489" i="14"/>
  <c r="BI490" i="14" s="1"/>
  <c r="AY492" i="14"/>
  <c r="AY496" i="14"/>
  <c r="AY497" i="14"/>
  <c r="AY490" i="14"/>
  <c r="AY487" i="14"/>
  <c r="AQ492" i="14"/>
  <c r="AQ496" i="14"/>
  <c r="AQ490" i="14"/>
  <c r="AR510" i="14"/>
  <c r="AR473" i="14"/>
  <c r="AR469" i="14"/>
  <c r="AR472" i="14"/>
  <c r="AZ478" i="14"/>
  <c r="AZ477" i="14"/>
  <c r="AZ471" i="14"/>
  <c r="AZ473" i="14"/>
  <c r="AZ468" i="14"/>
  <c r="AW395" i="14"/>
  <c r="BE583" i="14"/>
  <c r="BC511" i="14"/>
  <c r="AS477" i="14"/>
  <c r="AR404" i="14"/>
  <c r="AN428" i="14"/>
  <c r="AR395" i="14"/>
  <c r="AR400" i="14"/>
  <c r="AR398" i="14"/>
  <c r="AN438" i="14"/>
  <c r="AN404" i="14"/>
  <c r="AN398" i="14"/>
  <c r="AN400" i="14"/>
  <c r="AL257" i="14"/>
  <c r="AL268" i="14"/>
  <c r="AP242" i="14"/>
  <c r="AP246" i="14"/>
  <c r="AP240" i="14"/>
  <c r="AP238" i="14"/>
  <c r="AQ220" i="14"/>
  <c r="BD530" i="14"/>
  <c r="AV492" i="14"/>
  <c r="AQ474" i="14"/>
  <c r="AQ458" i="14"/>
  <c r="AQ460" i="14" s="1"/>
  <c r="AQ476" i="14"/>
  <c r="AQ478" i="14" s="1"/>
  <c r="AM513" i="14"/>
  <c r="AM512" i="14"/>
  <c r="AV626" i="14"/>
  <c r="AV616" i="14"/>
  <c r="BA604" i="14"/>
  <c r="BA600" i="14"/>
  <c r="BA599" i="14" s="1"/>
  <c r="AW412" i="14"/>
  <c r="AO412" i="14"/>
  <c r="BA438" i="14"/>
  <c r="BA428" i="14"/>
  <c r="BF400" i="14"/>
  <c r="BF398" i="14"/>
  <c r="BF404" i="14"/>
  <c r="BF396" i="14"/>
  <c r="AX377" i="14"/>
  <c r="AU383" i="14"/>
  <c r="AU373" i="14"/>
  <c r="AZ348" i="14"/>
  <c r="AZ344" i="14"/>
  <c r="AZ342" i="14"/>
  <c r="BA344" i="14"/>
  <c r="AV383" i="14"/>
  <c r="AT477" i="14"/>
  <c r="AL474" i="14"/>
  <c r="AL451" i="14"/>
  <c r="AM605" i="14"/>
  <c r="AM599" i="14"/>
  <c r="AU626" i="14"/>
  <c r="AU616" i="14"/>
  <c r="AZ604" i="14"/>
  <c r="AZ600" i="14"/>
  <c r="AZ598" i="14" s="1"/>
  <c r="AN604" i="14"/>
  <c r="AN600" i="14"/>
  <c r="AN599" i="14" s="1"/>
  <c r="AO623" i="14"/>
  <c r="AO613" i="14"/>
  <c r="AS583" i="14"/>
  <c r="AS589" i="14"/>
  <c r="AT584" i="14"/>
  <c r="AT582" i="14" s="1"/>
  <c r="AT588" i="14"/>
  <c r="AP298" i="14"/>
  <c r="AQ298" i="14"/>
  <c r="AQ296" i="14"/>
  <c r="AM314" i="14"/>
  <c r="AQ302" i="14"/>
  <c r="AQ293" i="14"/>
  <c r="AM326" i="14"/>
  <c r="AQ294" i="14"/>
  <c r="AS221" i="14"/>
  <c r="AO268" i="14"/>
  <c r="AO257" i="14"/>
  <c r="AS246" i="14"/>
  <c r="AS242" i="14"/>
  <c r="AS240" i="14"/>
  <c r="AS237" i="14"/>
  <c r="AZ415" i="14"/>
  <c r="AZ421" i="14"/>
  <c r="AZ417" i="14"/>
  <c r="AU432" i="14"/>
  <c r="AU442" i="14"/>
  <c r="AU617" i="14"/>
  <c r="AZ599" i="14"/>
  <c r="AU627" i="14"/>
  <c r="AZ605" i="14"/>
  <c r="AO626" i="14"/>
  <c r="AO616" i="14"/>
  <c r="AS604" i="14"/>
  <c r="AS600" i="14"/>
  <c r="AS598" i="14" s="1"/>
  <c r="AY383" i="14"/>
  <c r="AY373" i="14"/>
  <c r="BD348" i="14"/>
  <c r="BD342" i="14"/>
  <c r="BD344" i="14"/>
  <c r="AX529" i="14"/>
  <c r="BF529" i="14"/>
  <c r="BB453" i="14"/>
  <c r="BB460" i="14"/>
  <c r="BB459" i="14"/>
  <c r="BB455" i="14"/>
  <c r="AZ412" i="14"/>
  <c r="AN626" i="14"/>
  <c r="AN616" i="14"/>
  <c r="AR604" i="14"/>
  <c r="AR600" i="14"/>
  <c r="AR599" i="14" s="1"/>
  <c r="AZ438" i="14"/>
  <c r="BE398" i="14"/>
  <c r="AZ428" i="14"/>
  <c r="BE404" i="14"/>
  <c r="BE400" i="14"/>
  <c r="AW438" i="14"/>
  <c r="AW428" i="14"/>
  <c r="BB400" i="14"/>
  <c r="BB398" i="14"/>
  <c r="BB404" i="14"/>
  <c r="BB396" i="14"/>
  <c r="AL398" i="14"/>
  <c r="AL404" i="14"/>
  <c r="AL396" i="14"/>
  <c r="AL253" i="14"/>
  <c r="AP225" i="14"/>
  <c r="AP229" i="14"/>
  <c r="AL264" i="14"/>
  <c r="AP223" i="14"/>
  <c r="AW529" i="14"/>
  <c r="BE356" i="14"/>
  <c r="AW356" i="14"/>
  <c r="BB339" i="14"/>
  <c r="AS383" i="14"/>
  <c r="AS373" i="14"/>
  <c r="AX342" i="14"/>
  <c r="AX348" i="14"/>
  <c r="AX344" i="14"/>
  <c r="AX340" i="14"/>
  <c r="AT298" i="14"/>
  <c r="AT302" i="14"/>
  <c r="AT296" i="14"/>
  <c r="AX326" i="14"/>
  <c r="BC298" i="14"/>
  <c r="BC296" i="14"/>
  <c r="AX314" i="14"/>
  <c r="BC302" i="14"/>
  <c r="BC294" i="14"/>
  <c r="AQ314" i="14"/>
  <c r="AU314" i="14"/>
  <c r="AV296" i="14"/>
  <c r="AV298" i="14"/>
  <c r="AQ326" i="14"/>
  <c r="AV302" i="14"/>
  <c r="AV294" i="14"/>
  <c r="AV293" i="14"/>
  <c r="AR246" i="14"/>
  <c r="AN268" i="14"/>
  <c r="AR242" i="14"/>
  <c r="AR240" i="14"/>
  <c r="AN257" i="14"/>
  <c r="AR237" i="14"/>
  <c r="AR257" i="14"/>
  <c r="BD225" i="14"/>
  <c r="BD223" i="14"/>
  <c r="AY264" i="14"/>
  <c r="BD221" i="14"/>
  <c r="AY253" i="14"/>
  <c r="BD229" i="14"/>
  <c r="BE225" i="14"/>
  <c r="AS211" i="14"/>
  <c r="AS199" i="14"/>
  <c r="AX181" i="14"/>
  <c r="AX187" i="14"/>
  <c r="AX178" i="14"/>
  <c r="AX183" i="14"/>
  <c r="AT211" i="14"/>
  <c r="AY344" i="14"/>
  <c r="AZ183" i="14"/>
  <c r="AZ181" i="14"/>
  <c r="AU211" i="14"/>
  <c r="AU199" i="14"/>
  <c r="AZ187" i="14"/>
  <c r="AA14" i="14"/>
  <c r="AX64" i="14"/>
  <c r="AX61" i="14"/>
  <c r="AX66" i="14"/>
  <c r="AS87" i="14"/>
  <c r="AS80" i="14"/>
  <c r="AS91" i="14"/>
  <c r="AX70" i="14"/>
  <c r="AZ29" i="14"/>
  <c r="AC19" i="14"/>
  <c r="AY29" i="14"/>
  <c r="AD13" i="14"/>
  <c r="AC14" i="14"/>
  <c r="AC18" i="14"/>
  <c r="AY18" i="14"/>
  <c r="AC13" i="14"/>
  <c r="BE450" i="14"/>
  <c r="AS460" i="14"/>
  <c r="AS459" i="14"/>
  <c r="AS455" i="14"/>
  <c r="AS453" i="14"/>
  <c r="AS491" i="14"/>
  <c r="AS496" i="14" s="1"/>
  <c r="AO450" i="14"/>
  <c r="AW281" i="14"/>
  <c r="AY281" i="14"/>
  <c r="AW279" i="14"/>
  <c r="AR322" i="14"/>
  <c r="AR310" i="14"/>
  <c r="AW285" i="14"/>
  <c r="BF281" i="14"/>
  <c r="BF279" i="14"/>
  <c r="BA310" i="14"/>
  <c r="BF285" i="14"/>
  <c r="BF277" i="14"/>
  <c r="BA322" i="14"/>
  <c r="BA211" i="14"/>
  <c r="AQ152" i="14"/>
  <c r="AR87" i="14"/>
  <c r="AR76" i="14"/>
  <c r="AW50" i="14"/>
  <c r="AW46" i="14"/>
  <c r="AW44" i="14"/>
  <c r="BF41" i="14"/>
  <c r="AU118" i="14"/>
  <c r="BB76" i="14"/>
  <c r="BC41" i="14"/>
  <c r="BC44" i="14"/>
  <c r="BC50" i="14"/>
  <c r="BC46" i="14"/>
  <c r="AX76" i="14"/>
  <c r="AY199" i="14"/>
  <c r="AV183" i="14"/>
  <c r="AV181" i="14"/>
  <c r="AQ211" i="14"/>
  <c r="AQ199" i="14"/>
  <c r="AV187" i="14"/>
  <c r="AW187" i="14"/>
  <c r="AR211" i="14"/>
  <c r="AR199" i="14"/>
  <c r="AW181" i="14"/>
  <c r="AW183" i="14"/>
  <c r="AW162" i="14"/>
  <c r="AX148" i="14"/>
  <c r="AX136" i="14"/>
  <c r="BC110" i="14"/>
  <c r="BC106" i="14"/>
  <c r="BC104" i="14"/>
  <c r="AT87" i="14"/>
  <c r="AP91" i="14"/>
  <c r="AU66" i="14"/>
  <c r="AP80" i="14"/>
  <c r="AU70" i="14"/>
  <c r="AU64" i="14"/>
  <c r="AU61" i="14"/>
  <c r="AQ87" i="14"/>
  <c r="AQ76" i="14"/>
  <c r="AV44" i="14"/>
  <c r="AU76" i="14"/>
  <c r="AV41" i="14"/>
  <c r="AV50" i="14"/>
  <c r="AV46" i="14"/>
  <c r="AW41" i="14"/>
  <c r="AV33" i="14"/>
  <c r="Y27" i="14"/>
  <c r="AE19" i="14"/>
  <c r="AQ242" i="14"/>
  <c r="AQ240" i="14"/>
  <c r="AM268" i="14"/>
  <c r="AM257" i="14"/>
  <c r="AQ238" i="14"/>
  <c r="AQ246" i="14"/>
  <c r="AM242" i="14"/>
  <c r="AM240" i="14"/>
  <c r="AM246" i="14"/>
  <c r="AM238" i="14"/>
  <c r="AR183" i="14"/>
  <c r="AR181" i="14"/>
  <c r="AN211" i="14"/>
  <c r="AN199" i="14"/>
  <c r="AR187" i="14"/>
  <c r="BC42" i="14"/>
  <c r="Y28" i="14"/>
  <c r="AX322" i="14"/>
  <c r="BC281" i="14"/>
  <c r="BC279" i="14"/>
  <c r="AX310" i="14"/>
  <c r="BC276" i="14"/>
  <c r="BC277" i="14"/>
  <c r="AN246" i="14"/>
  <c r="AN237" i="14"/>
  <c r="AN242" i="14"/>
  <c r="AN240" i="14"/>
  <c r="AM166" i="14"/>
  <c r="AM164" i="14"/>
  <c r="AN166" i="14"/>
  <c r="AM170" i="14"/>
  <c r="AM162" i="14"/>
  <c r="AM161" i="14"/>
  <c r="BD170" i="14"/>
  <c r="AY207" i="14"/>
  <c r="AY195" i="14"/>
  <c r="BD166" i="14"/>
  <c r="BD161" i="14"/>
  <c r="BD164" i="14"/>
  <c r="AU166" i="14"/>
  <c r="AU164" i="14"/>
  <c r="AP207" i="14"/>
  <c r="AP195" i="14"/>
  <c r="AU170" i="14"/>
  <c r="AQ207" i="14"/>
  <c r="AV166" i="14"/>
  <c r="AS76" i="14"/>
  <c r="AX50" i="14"/>
  <c r="AX46" i="14"/>
  <c r="AX44" i="14"/>
  <c r="AW18" i="14"/>
  <c r="AA13" i="14"/>
  <c r="AB13" i="14"/>
  <c r="AA18" i="14"/>
  <c r="AW29" i="14"/>
  <c r="AA19" i="14"/>
  <c r="BE298" i="14"/>
  <c r="AO279" i="14"/>
  <c r="AO285" i="14"/>
  <c r="AO281" i="14"/>
  <c r="BB281" i="14"/>
  <c r="BB279" i="14"/>
  <c r="BB277" i="14"/>
  <c r="AW322" i="14"/>
  <c r="AW310" i="14"/>
  <c r="AP253" i="14"/>
  <c r="AY183" i="14"/>
  <c r="BG121" i="14"/>
  <c r="BG123" i="14"/>
  <c r="BG127" i="14"/>
  <c r="AX41" i="14"/>
  <c r="AY22" i="14"/>
  <c r="AC32" i="14"/>
  <c r="AC26" i="14"/>
  <c r="AJ26" i="14" s="1"/>
  <c r="AC31" i="14"/>
  <c r="AY33" i="14"/>
  <c r="AT152" i="14"/>
  <c r="AX123" i="14"/>
  <c r="AX121" i="14"/>
  <c r="AW140" i="14"/>
  <c r="AS140" i="14"/>
  <c r="AX118" i="14"/>
  <c r="AX127" i="14"/>
  <c r="AS152" i="14"/>
  <c r="AP152" i="14"/>
  <c r="AT140" i="14"/>
  <c r="AP140" i="14"/>
  <c r="AU121" i="14"/>
  <c r="AU119" i="14"/>
  <c r="AU127" i="14"/>
  <c r="AU123" i="14"/>
  <c r="AU41" i="14"/>
  <c r="AU46" i="14"/>
  <c r="AP87" i="14"/>
  <c r="AP76" i="14"/>
  <c r="AU44" i="14"/>
  <c r="AU50" i="14"/>
  <c r="AO211" i="14"/>
  <c r="AO199" i="14"/>
  <c r="AS187" i="14"/>
  <c r="AS181" i="14"/>
  <c r="AS183" i="14"/>
  <c r="AS179" i="14"/>
  <c r="AO187" i="14"/>
  <c r="AO183" i="14"/>
  <c r="AO178" i="14"/>
  <c r="AO181" i="14"/>
  <c r="AL211" i="14"/>
  <c r="AP183" i="14"/>
  <c r="AO179" i="14"/>
  <c r="BA207" i="14"/>
  <c r="BA195" i="14"/>
  <c r="BF164" i="14"/>
  <c r="BF166" i="14"/>
  <c r="BF170" i="14"/>
  <c r="AT33" i="14"/>
  <c r="AB32" i="14"/>
  <c r="X32" i="14"/>
  <c r="X26" i="14"/>
  <c r="AX22" i="14"/>
  <c r="X27" i="14"/>
  <c r="AT22" i="14"/>
  <c r="X28" i="14"/>
  <c r="X31" i="14"/>
  <c r="BA268" i="14"/>
  <c r="BA257" i="14"/>
  <c r="BF246" i="14"/>
  <c r="BF242" i="14"/>
  <c r="BF240" i="14"/>
  <c r="AS268" i="14"/>
  <c r="AW257" i="14"/>
  <c r="AX242" i="14"/>
  <c r="AX240" i="14"/>
  <c r="AS257" i="14"/>
  <c r="AP257" i="14"/>
  <c r="AU242" i="14"/>
  <c r="AU240" i="14"/>
  <c r="AU238" i="14"/>
  <c r="AU246" i="14"/>
  <c r="AP268" i="14"/>
  <c r="AU42" i="14"/>
  <c r="AV76" i="14"/>
  <c r="AR314" i="14"/>
  <c r="AW302" i="14"/>
  <c r="AW298" i="14"/>
  <c r="AR326" i="14"/>
  <c r="AX298" i="14"/>
  <c r="AW296" i="14"/>
  <c r="AV387" i="14"/>
  <c r="AV377" i="14"/>
  <c r="BA365" i="14"/>
  <c r="BA361" i="14"/>
  <c r="BA359" i="14"/>
  <c r="BA356" i="14"/>
  <c r="AR387" i="14"/>
  <c r="AR377" i="14"/>
  <c r="AW365" i="14"/>
  <c r="AW361" i="14"/>
  <c r="AW359" i="14"/>
  <c r="AW373" i="14"/>
  <c r="BB342" i="14"/>
  <c r="BB340" i="14"/>
  <c r="AW383" i="14"/>
  <c r="BB348" i="14"/>
  <c r="BB344" i="14"/>
  <c r="AP326" i="14"/>
  <c r="AU298" i="14"/>
  <c r="AU296" i="14"/>
  <c r="AU302" i="14"/>
  <c r="AU293" i="14"/>
  <c r="AT314" i="14"/>
  <c r="AP314" i="14"/>
  <c r="AU294" i="14"/>
  <c r="AN314" i="14"/>
  <c r="AN326" i="14"/>
  <c r="AR294" i="14"/>
  <c r="AR293" i="14"/>
  <c r="AR296" i="14"/>
  <c r="AR298" i="14"/>
  <c r="AR302" i="14"/>
  <c r="AL322" i="14"/>
  <c r="AP281" i="14"/>
  <c r="AP279" i="14"/>
  <c r="AP285" i="14"/>
  <c r="AL310" i="14"/>
  <c r="AP276" i="14"/>
  <c r="AR281" i="14"/>
  <c r="AN322" i="14"/>
  <c r="AR279" i="14"/>
  <c r="AR285" i="14"/>
  <c r="AR276" i="14"/>
  <c r="AN310" i="14"/>
  <c r="BD240" i="14"/>
  <c r="BD242" i="14"/>
  <c r="AY268" i="14"/>
  <c r="AY257" i="14"/>
  <c r="BD246" i="14"/>
  <c r="BD237" i="14"/>
  <c r="AY166" i="14"/>
  <c r="AY164" i="14"/>
  <c r="AT207" i="14"/>
  <c r="AU207" i="14"/>
  <c r="AT195" i="14"/>
  <c r="AY162" i="14"/>
  <c r="AY170" i="14"/>
  <c r="AU162" i="14"/>
  <c r="BE64" i="14"/>
  <c r="BE61" i="14"/>
  <c r="AZ91" i="14"/>
  <c r="AZ87" i="14"/>
  <c r="AZ80" i="14"/>
  <c r="BE66" i="14"/>
  <c r="BE70" i="14"/>
  <c r="AX42" i="14"/>
  <c r="BA460" i="14"/>
  <c r="BA453" i="14"/>
  <c r="BA459" i="14"/>
  <c r="BA455" i="14"/>
  <c r="AW460" i="14"/>
  <c r="AW523" i="14"/>
  <c r="AW459" i="14"/>
  <c r="AW453" i="14"/>
  <c r="AW455" i="14"/>
  <c r="AW387" i="14"/>
  <c r="AY310" i="14"/>
  <c r="AY322" i="14"/>
  <c r="BE281" i="14"/>
  <c r="BD279" i="14"/>
  <c r="BD281" i="14"/>
  <c r="BD276" i="14"/>
  <c r="AO322" i="14"/>
  <c r="AO310" i="14"/>
  <c r="AS285" i="14"/>
  <c r="AS281" i="14"/>
  <c r="AS279" i="14"/>
  <c r="AP322" i="14"/>
  <c r="AU285" i="14"/>
  <c r="AP310" i="14"/>
  <c r="AT310" i="14"/>
  <c r="AU279" i="14"/>
  <c r="AU281" i="14"/>
  <c r="AU277" i="14"/>
  <c r="AM310" i="14"/>
  <c r="AQ285" i="14"/>
  <c r="AQ279" i="14"/>
  <c r="AQ277" i="14"/>
  <c r="AM322" i="14"/>
  <c r="AQ281" i="14"/>
  <c r="AM285" i="14"/>
  <c r="AM281" i="14"/>
  <c r="AM277" i="14"/>
  <c r="AN281" i="14"/>
  <c r="AM279" i="14"/>
  <c r="BE42" i="14"/>
  <c r="AC28" i="14"/>
  <c r="AU22" i="14"/>
  <c r="AU33" i="14"/>
  <c r="Y32" i="14"/>
  <c r="Y26" i="14"/>
  <c r="Y31" i="14"/>
  <c r="BE187" i="14"/>
  <c r="BE183" i="14"/>
  <c r="AZ211" i="14"/>
  <c r="AZ199" i="14"/>
  <c r="BE181" i="14"/>
  <c r="AX33" i="14"/>
  <c r="AA31" i="14"/>
  <c r="AB26" i="14"/>
  <c r="AA26" i="14"/>
  <c r="AW33" i="14"/>
  <c r="AA32" i="14"/>
  <c r="AA28" i="14"/>
  <c r="AW22" i="14"/>
  <c r="AX195" i="14"/>
  <c r="AR207" i="14"/>
  <c r="AR195" i="14"/>
  <c r="AW170" i="14"/>
  <c r="AW166" i="14"/>
  <c r="AW161" i="14"/>
  <c r="AW164" i="14"/>
  <c r="AY161" i="14"/>
  <c r="BF161" i="14"/>
  <c r="AV207" i="14"/>
  <c r="BA164" i="14"/>
  <c r="AV195" i="14"/>
  <c r="BA166" i="14"/>
  <c r="BA170" i="14"/>
  <c r="BA161" i="14"/>
  <c r="BF123" i="14"/>
  <c r="BF127" i="14"/>
  <c r="BF121" i="14"/>
  <c r="BF118" i="14"/>
  <c r="BA140" i="14"/>
  <c r="BA152" i="14"/>
  <c r="BG119" i="14"/>
  <c r="BD127" i="14"/>
  <c r="AY152" i="14"/>
  <c r="BE123" i="14"/>
  <c r="AY140" i="14"/>
  <c r="BD123" i="14"/>
  <c r="BD121" i="14"/>
  <c r="BD119" i="14"/>
  <c r="BD106" i="14"/>
  <c r="BD104" i="14"/>
  <c r="BD101" i="14"/>
  <c r="AY148" i="14"/>
  <c r="BD110" i="14"/>
  <c r="AY136" i="14"/>
  <c r="AX91" i="14"/>
  <c r="BB80" i="14"/>
  <c r="BC66" i="14"/>
  <c r="AX80" i="14"/>
  <c r="BC70" i="14"/>
  <c r="BC64" i="14"/>
  <c r="AX87" i="14"/>
  <c r="BC62" i="14"/>
  <c r="AX29" i="14"/>
  <c r="AW293" i="14"/>
  <c r="AQ310" i="14"/>
  <c r="BF238" i="14"/>
  <c r="AX257" i="14"/>
  <c r="BC242" i="14"/>
  <c r="BC240" i="14"/>
  <c r="BC246" i="14"/>
  <c r="BC238" i="14"/>
  <c r="AX268" i="14"/>
  <c r="AY46" i="14"/>
  <c r="AP211" i="14"/>
  <c r="AC27" i="14"/>
  <c r="AU62" i="14"/>
  <c r="AV66" i="14"/>
  <c r="BD296" i="14"/>
  <c r="AY326" i="14"/>
  <c r="BD302" i="14"/>
  <c r="BD298" i="14"/>
  <c r="AY314" i="14"/>
  <c r="BE246" i="14"/>
  <c r="BE240" i="14"/>
  <c r="BE242" i="14"/>
  <c r="AZ268" i="14"/>
  <c r="AZ257" i="14"/>
  <c r="AZ377" i="14"/>
  <c r="BE365" i="14"/>
  <c r="BE361" i="14"/>
  <c r="BE359" i="14"/>
  <c r="AZ387" i="14"/>
  <c r="AM298" i="14"/>
  <c r="AM296" i="14"/>
  <c r="AM293" i="14"/>
  <c r="AM302" i="14"/>
  <c r="AM294" i="14"/>
  <c r="AV246" i="14"/>
  <c r="AQ268" i="14"/>
  <c r="AQ257" i="14"/>
  <c r="AV242" i="14"/>
  <c r="AU257" i="14"/>
  <c r="AV237" i="14"/>
  <c r="AV240" i="14"/>
  <c r="AX211" i="14"/>
  <c r="AX199" i="14"/>
  <c r="BC181" i="14"/>
  <c r="BC183" i="14"/>
  <c r="BC187" i="14"/>
  <c r="BC178" i="14"/>
  <c r="AW242" i="14"/>
  <c r="AR80" i="14"/>
  <c r="AY66" i="14"/>
  <c r="AW64" i="14"/>
  <c r="AW61" i="14"/>
  <c r="AR91" i="14"/>
  <c r="AV80" i="14"/>
  <c r="AW70" i="14"/>
  <c r="AW66" i="14"/>
  <c r="BA76" i="14"/>
  <c r="BF50" i="14"/>
  <c r="BF46" i="14"/>
  <c r="BG46" i="14"/>
  <c r="BF44" i="14"/>
  <c r="BE460" i="14"/>
  <c r="BE455" i="14"/>
  <c r="BE453" i="14"/>
  <c r="BE459" i="14"/>
  <c r="AO491" i="14"/>
  <c r="AO490" i="14" s="1"/>
  <c r="AO455" i="14"/>
  <c r="AO453" i="14"/>
  <c r="AO459" i="14"/>
  <c r="BB361" i="14"/>
  <c r="AO242" i="14"/>
  <c r="AN238" i="14"/>
  <c r="AY87" i="14"/>
  <c r="AY80" i="14"/>
  <c r="BD70" i="14"/>
  <c r="BD66" i="14"/>
  <c r="BD64" i="14"/>
  <c r="AY91" i="14"/>
  <c r="BH63" i="14"/>
  <c r="BH60" i="14"/>
  <c r="BD61" i="14"/>
  <c r="AZ76" i="14"/>
  <c r="BE50" i="14"/>
  <c r="BE46" i="14"/>
  <c r="BE44" i="14"/>
  <c r="AW199" i="14"/>
  <c r="BB91" i="14"/>
  <c r="BA91" i="14"/>
  <c r="BB87" i="14"/>
  <c r="BG66" i="14"/>
  <c r="BA87" i="14"/>
  <c r="BA80" i="14"/>
  <c r="BF66" i="14"/>
  <c r="BF61" i="14"/>
  <c r="BF70" i="14"/>
  <c r="BF64" i="14"/>
  <c r="AS298" i="14"/>
  <c r="BD183" i="14"/>
  <c r="AZ178" i="14"/>
  <c r="BA187" i="14"/>
  <c r="BA181" i="14"/>
  <c r="BA179" i="14"/>
  <c r="BA183" i="14"/>
  <c r="BA178" i="14"/>
  <c r="AV211" i="14"/>
  <c r="AV199" i="14"/>
  <c r="BD162" i="14"/>
  <c r="AT91" i="14"/>
  <c r="BD44" i="14"/>
  <c r="BH69" i="14"/>
  <c r="BH70" i="14" s="1"/>
  <c r="BD41" i="14"/>
  <c r="AY76" i="14"/>
  <c r="BD50" i="14"/>
  <c r="BD46" i="14"/>
  <c r="AZ33" i="14"/>
  <c r="BA22" i="14"/>
  <c r="AV281" i="14"/>
  <c r="AT246" i="14"/>
  <c r="AT240" i="14"/>
  <c r="AT242" i="14"/>
  <c r="AL246" i="14"/>
  <c r="AL240" i="14"/>
  <c r="AN183" i="14"/>
  <c r="AN181" i="14"/>
  <c r="AN187" i="14"/>
  <c r="AX152" i="14"/>
  <c r="AX140" i="14"/>
  <c r="BC121" i="14"/>
  <c r="BC123" i="14"/>
  <c r="BC119" i="14"/>
  <c r="BC127" i="14"/>
  <c r="BE179" i="14"/>
  <c r="BE166" i="14"/>
  <c r="BD42" i="14"/>
  <c r="BA18" i="14"/>
  <c r="C9" i="6"/>
  <c r="B11" i="6"/>
  <c r="B10" i="6"/>
  <c r="B42" i="9" l="1"/>
  <c r="AR649" i="14"/>
  <c r="AT649" i="14" s="1"/>
  <c r="AL496" i="14"/>
  <c r="D38" i="9"/>
  <c r="D41" i="9" s="1"/>
  <c r="C38" i="9"/>
  <c r="Z45" i="9"/>
  <c r="BI489" i="14"/>
  <c r="AR598" i="14"/>
  <c r="BB583" i="14"/>
  <c r="AR490" i="14"/>
  <c r="AL582" i="14"/>
  <c r="E38" i="9"/>
  <c r="Z56" i="9" s="1"/>
  <c r="AB53" i="9"/>
  <c r="Z53" i="9"/>
  <c r="BK739" i="14"/>
  <c r="BK757" i="14"/>
  <c r="AW528" i="14"/>
  <c r="AW525" i="14"/>
  <c r="AW530" i="14" s="1"/>
  <c r="AN598" i="14"/>
  <c r="AU628" i="14"/>
  <c r="AU618" i="14"/>
  <c r="AZ603" i="14"/>
  <c r="AZ601" i="14"/>
  <c r="AZ607" i="14"/>
  <c r="AR512" i="14"/>
  <c r="AR513" i="14"/>
  <c r="AU716" i="14"/>
  <c r="AR509" i="14"/>
  <c r="BF525" i="14"/>
  <c r="BF530" i="14" s="1"/>
  <c r="BF528" i="14"/>
  <c r="AV624" i="14"/>
  <c r="BA591" i="14"/>
  <c r="BA587" i="14"/>
  <c r="BA585" i="14"/>
  <c r="AV614" i="14"/>
  <c r="AV529" i="14"/>
  <c r="AV525" i="14"/>
  <c r="AV527" i="14" s="1"/>
  <c r="AV528" i="14"/>
  <c r="AP587" i="14"/>
  <c r="AP585" i="14"/>
  <c r="AL624" i="14"/>
  <c r="AL614" i="14"/>
  <c r="AP591" i="14"/>
  <c r="AP614" i="14"/>
  <c r="AP583" i="14"/>
  <c r="AN458" i="14"/>
  <c r="AN460" i="14" s="1"/>
  <c r="AN476" i="14"/>
  <c r="AN478" i="14" s="1"/>
  <c r="AN475" i="14"/>
  <c r="AN477" i="14"/>
  <c r="AN471" i="14"/>
  <c r="AN474" i="14"/>
  <c r="AN583" i="14"/>
  <c r="AU530" i="14"/>
  <c r="AS495" i="14"/>
  <c r="AS497" i="14" s="1"/>
  <c r="AS514" i="14"/>
  <c r="AS516" i="14" s="1"/>
  <c r="AS494" i="14"/>
  <c r="AS493" i="14"/>
  <c r="AO628" i="14"/>
  <c r="AO618" i="14"/>
  <c r="AS603" i="14"/>
  <c r="AS607" i="14"/>
  <c r="AS601" i="14"/>
  <c r="AS599" i="14"/>
  <c r="AN607" i="14"/>
  <c r="AN603" i="14"/>
  <c r="AN601" i="14"/>
  <c r="AV628" i="14"/>
  <c r="AV618" i="14"/>
  <c r="BA603" i="14"/>
  <c r="BA607" i="14"/>
  <c r="BA601" i="14"/>
  <c r="AT603" i="14"/>
  <c r="AP628" i="14"/>
  <c r="AO513" i="14"/>
  <c r="AO512" i="14"/>
  <c r="AM628" i="14"/>
  <c r="AM618" i="14"/>
  <c r="AQ607" i="14"/>
  <c r="AQ601" i="14"/>
  <c r="AQ603" i="14"/>
  <c r="AQ618" i="14"/>
  <c r="AQ598" i="14"/>
  <c r="AT514" i="14"/>
  <c r="AT516" i="14" s="1"/>
  <c r="AT493" i="14"/>
  <c r="AT495" i="14"/>
  <c r="AT497" i="14" s="1"/>
  <c r="AT494" i="14"/>
  <c r="AT490" i="14"/>
  <c r="AP512" i="14"/>
  <c r="AP513" i="14"/>
  <c r="AP509" i="14"/>
  <c r="AY607" i="14"/>
  <c r="AT618" i="14"/>
  <c r="AY603" i="14"/>
  <c r="AY601" i="14"/>
  <c r="AT628" i="14"/>
  <c r="AN585" i="14"/>
  <c r="AN591" i="14"/>
  <c r="AN587" i="14"/>
  <c r="AN628" i="14"/>
  <c r="AN618" i="14"/>
  <c r="AR607" i="14"/>
  <c r="AR603" i="14"/>
  <c r="AR601" i="14"/>
  <c r="AR618" i="14"/>
  <c r="AR458" i="14"/>
  <c r="AR460" i="14" s="1"/>
  <c r="AR475" i="14"/>
  <c r="AR476" i="14"/>
  <c r="AR478" i="14" s="1"/>
  <c r="AR474" i="14"/>
  <c r="AR477" i="14"/>
  <c r="AO603" i="14"/>
  <c r="AO601" i="14"/>
  <c r="AO607" i="14"/>
  <c r="AO599" i="14"/>
  <c r="AP514" i="14"/>
  <c r="AP516" i="14" s="1"/>
  <c r="AP495" i="14"/>
  <c r="AP497" i="14" s="1"/>
  <c r="AP493" i="14"/>
  <c r="AP494" i="14"/>
  <c r="AO476" i="14"/>
  <c r="AO478" i="14" s="1"/>
  <c r="AO475" i="14"/>
  <c r="AO458" i="14"/>
  <c r="AO460" i="14" s="1"/>
  <c r="AO474" i="14"/>
  <c r="AR495" i="14"/>
  <c r="AR497" i="14" s="1"/>
  <c r="AR514" i="14"/>
  <c r="AR516" i="14" s="1"/>
  <c r="AR494" i="14"/>
  <c r="AR493" i="14"/>
  <c r="AO515" i="14"/>
  <c r="AS490" i="14"/>
  <c r="AL591" i="14"/>
  <c r="AL585" i="14"/>
  <c r="AL583" i="14"/>
  <c r="AP476" i="14"/>
  <c r="AP478" i="14" s="1"/>
  <c r="AP458" i="14"/>
  <c r="AP460" i="14" s="1"/>
  <c r="AP477" i="14"/>
  <c r="AP471" i="14"/>
  <c r="AP475" i="14"/>
  <c r="AP474" i="14"/>
  <c r="AP515" i="14"/>
  <c r="AW628" i="14"/>
  <c r="AW618" i="14"/>
  <c r="BB601" i="14"/>
  <c r="BB603" i="14"/>
  <c r="BB607" i="14"/>
  <c r="AL514" i="14"/>
  <c r="AL516" i="14" s="1"/>
  <c r="AL493" i="14"/>
  <c r="AL495" i="14"/>
  <c r="AL497" i="14" s="1"/>
  <c r="AL494" i="14"/>
  <c r="AU531" i="14"/>
  <c r="AN624" i="14"/>
  <c r="AR585" i="14"/>
  <c r="AN614" i="14"/>
  <c r="AR587" i="14"/>
  <c r="AR591" i="14"/>
  <c r="AO591" i="14"/>
  <c r="AO587" i="14"/>
  <c r="AO585" i="14"/>
  <c r="AO514" i="14"/>
  <c r="AO516" i="14" s="1"/>
  <c r="AO495" i="14"/>
  <c r="AO497" i="14" s="1"/>
  <c r="AO494" i="14"/>
  <c r="AO493" i="14"/>
  <c r="AT591" i="14"/>
  <c r="AT587" i="14"/>
  <c r="AT585" i="14"/>
  <c r="AT583" i="14"/>
  <c r="AU587" i="14"/>
  <c r="BA598" i="14"/>
  <c r="AR471" i="14"/>
  <c r="AQ514" i="14"/>
  <c r="AQ516" i="14" s="1"/>
  <c r="AQ495" i="14"/>
  <c r="AQ497" i="14" s="1"/>
  <c r="AQ494" i="14"/>
  <c r="AQ493" i="14"/>
  <c r="AO496" i="14"/>
  <c r="AO583" i="14"/>
  <c r="AX525" i="14"/>
  <c r="AX530" i="14" s="1"/>
  <c r="AX528" i="14"/>
  <c r="AQ587" i="14"/>
  <c r="AM624" i="14"/>
  <c r="AM614" i="14"/>
  <c r="AQ591" i="14"/>
  <c r="AQ585" i="14"/>
  <c r="AQ582" i="14"/>
  <c r="AO477" i="14"/>
  <c r="AO471" i="14"/>
  <c r="AR614" i="14"/>
  <c r="AT496" i="14"/>
  <c r="AO509" i="14"/>
  <c r="BC603" i="14"/>
  <c r="AP601" i="14"/>
  <c r="AL628" i="14"/>
  <c r="AP603" i="14"/>
  <c r="AL618" i="14"/>
  <c r="AP607" i="14"/>
  <c r="AP598" i="14"/>
  <c r="AS618" i="14"/>
  <c r="AQ512" i="14"/>
  <c r="AQ513" i="14"/>
  <c r="AO624" i="14"/>
  <c r="AO614" i="14"/>
  <c r="AS591" i="14"/>
  <c r="AS587" i="14"/>
  <c r="AS585" i="14"/>
  <c r="AP624" i="14"/>
  <c r="AQ515" i="14"/>
  <c r="AW624" i="14"/>
  <c r="AW614" i="14"/>
  <c r="BB591" i="14"/>
  <c r="BB585" i="14"/>
  <c r="BB587" i="14"/>
  <c r="BC587" i="14"/>
  <c r="AQ599" i="14"/>
  <c r="AO582" i="14"/>
  <c r="B12" i="6"/>
  <c r="C12" i="6"/>
  <c r="C11" i="6"/>
  <c r="C10" i="6"/>
  <c r="B9" i="6"/>
  <c r="C41" i="9" l="1"/>
  <c r="E42" i="9"/>
  <c r="D42" i="9"/>
  <c r="F42" i="9"/>
  <c r="C42" i="9"/>
  <c r="AV530" i="14"/>
  <c r="E41" i="9"/>
  <c r="AV531" i="14"/>
  <c r="BF527" i="14"/>
  <c r="BF531" i="14"/>
  <c r="AW527" i="14"/>
  <c r="AW531" i="14"/>
  <c r="AX527" i="14"/>
  <c r="AX531" i="14"/>
  <c r="B13" i="6"/>
  <c r="C13" i="6"/>
  <c r="AE40" i="8" l="1"/>
  <c r="AG35" i="8"/>
  <c r="AG36" i="8"/>
  <c r="AG37" i="8"/>
  <c r="AG34" i="8"/>
  <c r="AA41" i="8" l="1"/>
  <c r="AA40" i="8"/>
  <c r="AC40" i="8"/>
  <c r="AC38" i="8" l="1"/>
  <c r="AC43" i="8" s="1"/>
  <c r="AA38" i="8"/>
  <c r="AA43" i="8" s="1"/>
  <c r="AE38" i="8"/>
  <c r="AG38" i="8" l="1"/>
  <c r="AE43" i="8"/>
  <c r="AJ38" i="8"/>
  <c r="AF38" i="8"/>
  <c r="AH38" i="8"/>
  <c r="AI38" i="8"/>
  <c r="I6" i="12"/>
  <c r="H4" i="12"/>
  <c r="H5" i="12"/>
  <c r="H6" i="12"/>
  <c r="H7" i="12"/>
  <c r="H8" i="12"/>
  <c r="H9" i="12"/>
  <c r="H10" i="12"/>
  <c r="H11" i="12"/>
  <c r="H12" i="12"/>
  <c r="H13" i="12"/>
  <c r="H14" i="12"/>
  <c r="H15" i="12"/>
  <c r="H16" i="12"/>
  <c r="H3" i="12"/>
  <c r="J3" i="12"/>
  <c r="J4" i="12"/>
  <c r="J5" i="12"/>
  <c r="J6" i="12"/>
  <c r="J7" i="12"/>
  <c r="J8" i="12"/>
  <c r="J9" i="12"/>
  <c r="J10" i="12"/>
  <c r="J11" i="12"/>
  <c r="J12" i="12"/>
  <c r="J13" i="12"/>
  <c r="J14" i="12"/>
  <c r="J15" i="12"/>
  <c r="J16" i="12"/>
  <c r="J17" i="12"/>
  <c r="J2" i="12"/>
  <c r="J22" i="12"/>
  <c r="J23" i="12"/>
  <c r="J24" i="12"/>
  <c r="J25" i="12"/>
  <c r="J26" i="12"/>
  <c r="J27" i="12"/>
  <c r="J28" i="12"/>
  <c r="J29" i="12"/>
  <c r="J30" i="12"/>
  <c r="J31" i="12"/>
  <c r="J32" i="12"/>
  <c r="J33" i="12"/>
  <c r="J34" i="12"/>
  <c r="J35" i="12"/>
  <c r="J21" i="12"/>
  <c r="H21" i="12"/>
  <c r="T2" i="11"/>
  <c r="M22" i="11"/>
  <c r="H27" i="11"/>
  <c r="H28" i="11"/>
  <c r="H29" i="11"/>
  <c r="H30" i="11"/>
  <c r="H31" i="11"/>
  <c r="H32" i="11"/>
  <c r="H33" i="11"/>
  <c r="H34" i="11"/>
  <c r="H26" i="11"/>
  <c r="G26" i="11"/>
  <c r="P2" i="12" l="1"/>
  <c r="P11" i="12"/>
  <c r="P10" i="12"/>
  <c r="P6" i="12"/>
  <c r="P15" i="12"/>
  <c r="P14" i="12"/>
  <c r="P12" i="12"/>
  <c r="P4" i="12"/>
  <c r="P8" i="12"/>
  <c r="P7" i="12"/>
  <c r="P3" i="12"/>
  <c r="P16" i="12"/>
  <c r="P13" i="12"/>
  <c r="P9" i="12"/>
  <c r="P5" i="12"/>
  <c r="I22" i="12"/>
  <c r="I23" i="12"/>
  <c r="I24" i="12"/>
  <c r="I25" i="12"/>
  <c r="I26" i="12"/>
  <c r="I27" i="12"/>
  <c r="I28" i="12"/>
  <c r="I29" i="12"/>
  <c r="I30" i="12"/>
  <c r="I31" i="12"/>
  <c r="I32" i="12"/>
  <c r="I33" i="12"/>
  <c r="I34" i="12"/>
  <c r="I35" i="12"/>
  <c r="I21" i="12"/>
  <c r="I3" i="12"/>
  <c r="I4" i="12"/>
  <c r="I5" i="12"/>
  <c r="I7" i="12"/>
  <c r="I8" i="12"/>
  <c r="I9" i="12"/>
  <c r="I10" i="12"/>
  <c r="I11" i="12"/>
  <c r="I12" i="12"/>
  <c r="I13" i="12"/>
  <c r="I14" i="12"/>
  <c r="I15" i="12"/>
  <c r="I16" i="12"/>
  <c r="I17" i="12"/>
  <c r="I2" i="12"/>
  <c r="H22" i="12"/>
  <c r="H23" i="12"/>
  <c r="H24" i="12"/>
  <c r="H25" i="12"/>
  <c r="H26" i="12"/>
  <c r="H27" i="12"/>
  <c r="H28" i="12"/>
  <c r="H29" i="12"/>
  <c r="H30" i="12"/>
  <c r="H31" i="12"/>
  <c r="H32" i="12"/>
  <c r="H33" i="12"/>
  <c r="H34" i="12"/>
  <c r="H35" i="12"/>
  <c r="H2" i="12"/>
  <c r="G41" i="12"/>
  <c r="G42" i="12"/>
  <c r="G43" i="12"/>
  <c r="G44" i="12"/>
  <c r="G45" i="12"/>
  <c r="G46" i="12"/>
  <c r="G47" i="12"/>
  <c r="G48" i="12"/>
  <c r="G49" i="12"/>
  <c r="G50" i="12"/>
  <c r="G51" i="12"/>
  <c r="G52" i="12"/>
  <c r="G53" i="12"/>
  <c r="G54" i="12"/>
  <c r="G55" i="12"/>
  <c r="G40" i="12"/>
  <c r="F36" i="12"/>
  <c r="H36" i="12" s="1"/>
  <c r="F17" i="12"/>
  <c r="H17" i="12" s="1"/>
  <c r="E41" i="12"/>
  <c r="E17" i="12"/>
  <c r="E36" i="12"/>
  <c r="D36" i="12"/>
  <c r="C36" i="12"/>
  <c r="I36" i="12" s="1"/>
  <c r="T4" i="11"/>
  <c r="T8" i="11"/>
  <c r="T5" i="11"/>
  <c r="T6" i="11"/>
  <c r="T9" i="11"/>
  <c r="T7" i="11"/>
  <c r="T3" i="11"/>
  <c r="B66" i="11"/>
  <c r="B67" i="11"/>
  <c r="B68" i="11"/>
  <c r="B69" i="11"/>
  <c r="B70" i="11"/>
  <c r="B71" i="11"/>
  <c r="B72" i="11"/>
  <c r="B73" i="11"/>
  <c r="B65" i="11"/>
  <c r="E66" i="11"/>
  <c r="F66" i="11"/>
  <c r="G66" i="11"/>
  <c r="E67" i="11"/>
  <c r="F67" i="11"/>
  <c r="G67" i="11"/>
  <c r="E68" i="11"/>
  <c r="F68" i="11"/>
  <c r="G68" i="11"/>
  <c r="E69" i="11"/>
  <c r="F69" i="11"/>
  <c r="G69" i="11"/>
  <c r="E70" i="11"/>
  <c r="F70" i="11"/>
  <c r="G70" i="11"/>
  <c r="E71" i="11"/>
  <c r="F71" i="11"/>
  <c r="G71" i="11"/>
  <c r="E72" i="11"/>
  <c r="F72" i="11"/>
  <c r="G72" i="11"/>
  <c r="E73" i="11"/>
  <c r="F73" i="11"/>
  <c r="G73" i="11"/>
  <c r="F65" i="11"/>
  <c r="G65" i="11"/>
  <c r="G27" i="11"/>
  <c r="G28" i="11"/>
  <c r="G29" i="11"/>
  <c r="G30" i="11"/>
  <c r="G31" i="11"/>
  <c r="G32" i="11"/>
  <c r="G33" i="11"/>
  <c r="G34" i="11"/>
  <c r="D4" i="10"/>
  <c r="AE41" i="8" l="1"/>
  <c r="AE44" i="8" s="1"/>
  <c r="AC41" i="8"/>
  <c r="AC44" i="8" s="1"/>
  <c r="AA44" i="8"/>
  <c r="B41" i="12"/>
  <c r="B42" i="12"/>
  <c r="B43" i="12"/>
  <c r="B44" i="12"/>
  <c r="B45" i="12"/>
  <c r="B46" i="12"/>
  <c r="B47" i="12"/>
  <c r="B48" i="12"/>
  <c r="B49" i="12"/>
  <c r="B50" i="12"/>
  <c r="B51" i="12"/>
  <c r="B52" i="12"/>
  <c r="B53" i="12"/>
  <c r="B54" i="12"/>
  <c r="B40" i="12"/>
  <c r="B36" i="12"/>
  <c r="B17" i="12"/>
  <c r="F41" i="12"/>
  <c r="H41" i="12" s="1"/>
  <c r="F42" i="12"/>
  <c r="H42" i="12" s="1"/>
  <c r="F43" i="12"/>
  <c r="H43" i="12" s="1"/>
  <c r="F44" i="12"/>
  <c r="H44" i="12" s="1"/>
  <c r="F45" i="12"/>
  <c r="H45" i="12" s="1"/>
  <c r="F46" i="12"/>
  <c r="H46" i="12" s="1"/>
  <c r="F47" i="12"/>
  <c r="H47" i="12" s="1"/>
  <c r="F48" i="12"/>
  <c r="H48" i="12" s="1"/>
  <c r="F49" i="12"/>
  <c r="H49" i="12" s="1"/>
  <c r="F50" i="12"/>
  <c r="H50" i="12" s="1"/>
  <c r="F51" i="12"/>
  <c r="H51" i="12" s="1"/>
  <c r="F52" i="12"/>
  <c r="H52" i="12" s="1"/>
  <c r="F53" i="12"/>
  <c r="H53" i="12" s="1"/>
  <c r="F54" i="12"/>
  <c r="H54" i="12" s="1"/>
  <c r="F40" i="12"/>
  <c r="H40" i="12" s="1"/>
  <c r="F55" i="12"/>
  <c r="H55" i="12" s="1"/>
  <c r="B28" i="11"/>
  <c r="B31" i="11"/>
  <c r="B30" i="11"/>
  <c r="B29" i="11"/>
  <c r="B27" i="11"/>
  <c r="B26" i="11"/>
  <c r="C20" i="10"/>
  <c r="C19" i="10"/>
  <c r="C15" i="10"/>
  <c r="C14" i="10"/>
  <c r="I10" i="10"/>
  <c r="C10" i="10"/>
  <c r="C9" i="10"/>
  <c r="C5" i="10"/>
  <c r="C4" i="10"/>
  <c r="H14" i="10"/>
  <c r="G20" i="10"/>
  <c r="H20" i="10" s="1"/>
  <c r="G19" i="10"/>
  <c r="H19" i="10" s="1"/>
  <c r="G15" i="10"/>
  <c r="H15" i="10" s="1"/>
  <c r="G14" i="10"/>
  <c r="G16" i="10" s="1"/>
  <c r="G11" i="10"/>
  <c r="G25" i="10" s="1"/>
  <c r="G10" i="10"/>
  <c r="H10" i="10" s="1"/>
  <c r="G9" i="10"/>
  <c r="H9" i="10" s="1"/>
  <c r="F6" i="10"/>
  <c r="G5" i="10"/>
  <c r="I5" i="10" s="1"/>
  <c r="G4" i="10"/>
  <c r="I4" i="10" s="1"/>
  <c r="G26" i="10" l="1"/>
  <c r="G21" i="10"/>
  <c r="H4" i="10"/>
  <c r="I14" i="10"/>
  <c r="I9" i="10"/>
  <c r="I15" i="10"/>
  <c r="I19" i="10"/>
  <c r="H5" i="10"/>
  <c r="I20" i="10"/>
  <c r="G6" i="10"/>
  <c r="B55" i="12"/>
  <c r="AG41" i="8"/>
  <c r="AH41" i="8"/>
  <c r="AH40" i="8"/>
  <c r="F26" i="11"/>
  <c r="B32" i="11"/>
  <c r="F30" i="11"/>
  <c r="B33" i="11"/>
  <c r="F29" i="11"/>
  <c r="L29" i="11" s="1"/>
  <c r="F32" i="11"/>
  <c r="F28" i="11"/>
  <c r="F33" i="11"/>
  <c r="F31" i="11"/>
  <c r="F27" i="11"/>
  <c r="L27" i="11" s="1"/>
  <c r="B34" i="11"/>
  <c r="G27" i="10" l="1"/>
  <c r="H6" i="10"/>
  <c r="G24" i="10"/>
  <c r="L33" i="11"/>
  <c r="L30" i="11"/>
  <c r="F34" i="11"/>
  <c r="L26" i="11"/>
  <c r="L32" i="11"/>
  <c r="L31" i="11"/>
  <c r="L28" i="11"/>
  <c r="L34" i="11" l="1"/>
  <c r="K21" i="12" l="1"/>
  <c r="K22" i="12"/>
  <c r="K23" i="12"/>
  <c r="K24" i="12"/>
  <c r="K25" i="12"/>
  <c r="K26" i="12"/>
  <c r="K27" i="12"/>
  <c r="K28" i="12"/>
  <c r="K29" i="12"/>
  <c r="K30" i="12"/>
  <c r="K31" i="12"/>
  <c r="K32" i="12"/>
  <c r="K33" i="12"/>
  <c r="K34" i="12"/>
  <c r="K35" i="12"/>
  <c r="K36" i="12"/>
  <c r="D73" i="11"/>
  <c r="C73" i="11"/>
  <c r="D72" i="11"/>
  <c r="C72" i="11"/>
  <c r="D71" i="11"/>
  <c r="C71" i="11"/>
  <c r="D70" i="11"/>
  <c r="C70" i="11"/>
  <c r="D69" i="11"/>
  <c r="C69" i="11"/>
  <c r="D68" i="11"/>
  <c r="C68" i="11"/>
  <c r="D67" i="11"/>
  <c r="C67" i="11"/>
  <c r="D66" i="11"/>
  <c r="C66" i="11"/>
  <c r="E65" i="11"/>
  <c r="D65" i="11"/>
  <c r="C65" i="11"/>
  <c r="L61" i="11"/>
  <c r="K61" i="11"/>
  <c r="L60" i="11"/>
  <c r="K60" i="11"/>
  <c r="L59" i="11"/>
  <c r="K59" i="11"/>
  <c r="L58" i="11"/>
  <c r="K58" i="11"/>
  <c r="L57" i="11"/>
  <c r="K57" i="11"/>
  <c r="L56" i="11"/>
  <c r="K56" i="11"/>
  <c r="L55" i="11"/>
  <c r="K55" i="11"/>
  <c r="L54" i="11"/>
  <c r="K54" i="11"/>
  <c r="L53" i="11"/>
  <c r="K53" i="11"/>
  <c r="N49" i="11"/>
  <c r="M49" i="11"/>
  <c r="L49" i="11"/>
  <c r="K49" i="11"/>
  <c r="N48" i="11"/>
  <c r="M48" i="11"/>
  <c r="L48" i="11"/>
  <c r="K48" i="11"/>
  <c r="N47" i="11"/>
  <c r="M47" i="11"/>
  <c r="L47" i="11"/>
  <c r="K47" i="11"/>
  <c r="N46" i="11"/>
  <c r="M46" i="11"/>
  <c r="L46" i="11"/>
  <c r="K46" i="11"/>
  <c r="N45" i="11"/>
  <c r="M45" i="11"/>
  <c r="L45" i="11"/>
  <c r="K45" i="11"/>
  <c r="N44" i="11"/>
  <c r="M44" i="11"/>
  <c r="L44" i="11"/>
  <c r="K44" i="11"/>
  <c r="N43" i="11"/>
  <c r="M43" i="11"/>
  <c r="L43" i="11"/>
  <c r="K43" i="11"/>
  <c r="N42" i="11"/>
  <c r="M42" i="11"/>
  <c r="L42" i="11"/>
  <c r="K42" i="11"/>
  <c r="N41" i="11"/>
  <c r="M41" i="11"/>
  <c r="L41" i="11"/>
  <c r="K41" i="11"/>
  <c r="J36" i="12"/>
  <c r="L70" i="11" l="1"/>
  <c r="L72" i="11"/>
  <c r="L65" i="11"/>
  <c r="L69" i="11"/>
  <c r="L71" i="11"/>
  <c r="K68" i="11"/>
  <c r="K72" i="11"/>
  <c r="L67" i="11"/>
  <c r="K67" i="11"/>
  <c r="L73" i="11"/>
  <c r="L66" i="11"/>
  <c r="L68" i="11"/>
  <c r="K71" i="11"/>
  <c r="K65" i="11"/>
  <c r="K69" i="11"/>
  <c r="K73" i="11"/>
  <c r="K66" i="11"/>
  <c r="K70" i="11"/>
  <c r="E42" i="12" l="1"/>
  <c r="E43" i="12"/>
  <c r="E44" i="12"/>
  <c r="E45" i="12"/>
  <c r="E46" i="12"/>
  <c r="E47" i="12"/>
  <c r="E48" i="12"/>
  <c r="E49" i="12"/>
  <c r="E50" i="12"/>
  <c r="E51" i="12"/>
  <c r="E52" i="12"/>
  <c r="E53" i="12"/>
  <c r="E54" i="12"/>
  <c r="E55" i="12"/>
  <c r="D41" i="12"/>
  <c r="D42" i="12"/>
  <c r="D43" i="12"/>
  <c r="D44" i="12"/>
  <c r="D45" i="12"/>
  <c r="D46" i="12"/>
  <c r="D47" i="12"/>
  <c r="D48" i="12"/>
  <c r="D49" i="12"/>
  <c r="D50" i="12"/>
  <c r="D51" i="12"/>
  <c r="D52" i="12"/>
  <c r="D53" i="12"/>
  <c r="D54" i="12"/>
  <c r="D55" i="12"/>
  <c r="D40" i="12"/>
  <c r="E40" i="12"/>
  <c r="C41" i="12"/>
  <c r="I41" i="12" s="1"/>
  <c r="C42" i="12"/>
  <c r="I42" i="12" s="1"/>
  <c r="C43" i="12"/>
  <c r="I43" i="12" s="1"/>
  <c r="C44" i="12"/>
  <c r="I44" i="12" s="1"/>
  <c r="C45" i="12"/>
  <c r="I45" i="12" s="1"/>
  <c r="C46" i="12"/>
  <c r="I46" i="12" s="1"/>
  <c r="C47" i="12"/>
  <c r="I47" i="12" s="1"/>
  <c r="C48" i="12"/>
  <c r="I48" i="12" s="1"/>
  <c r="C49" i="12"/>
  <c r="I49" i="12" s="1"/>
  <c r="C50" i="12"/>
  <c r="I50" i="12" s="1"/>
  <c r="C51" i="12"/>
  <c r="I51" i="12" s="1"/>
  <c r="C52" i="12"/>
  <c r="I52" i="12" s="1"/>
  <c r="C53" i="12"/>
  <c r="I53" i="12" s="1"/>
  <c r="C54" i="12"/>
  <c r="I54" i="12" s="1"/>
  <c r="C55" i="12"/>
  <c r="I55" i="12" s="1"/>
  <c r="C40" i="12"/>
  <c r="I40" i="12" s="1"/>
  <c r="E27" i="11"/>
  <c r="K27" i="11" s="1"/>
  <c r="E28" i="11"/>
  <c r="K28" i="11" s="1"/>
  <c r="E29" i="11"/>
  <c r="K29" i="11" s="1"/>
  <c r="E30" i="11"/>
  <c r="K30" i="11" s="1"/>
  <c r="E31" i="11"/>
  <c r="K31" i="11" s="1"/>
  <c r="E32" i="11"/>
  <c r="K32" i="11" s="1"/>
  <c r="E33" i="11"/>
  <c r="K33" i="11" s="1"/>
  <c r="E34" i="11"/>
  <c r="K34" i="11" s="1"/>
  <c r="D27" i="11"/>
  <c r="D28" i="11"/>
  <c r="D29" i="11"/>
  <c r="D30" i="11"/>
  <c r="D31" i="11"/>
  <c r="D32" i="11"/>
  <c r="D33" i="11"/>
  <c r="D34" i="11"/>
  <c r="C27" i="11"/>
  <c r="C28" i="11"/>
  <c r="C29" i="11"/>
  <c r="C30" i="11"/>
  <c r="C31" i="11"/>
  <c r="C32" i="11"/>
  <c r="C33" i="11"/>
  <c r="C34" i="11"/>
  <c r="D26" i="11"/>
  <c r="E26" i="11"/>
  <c r="K26" i="11" s="1"/>
  <c r="C26" i="11"/>
  <c r="F21" i="10" l="1"/>
  <c r="E21" i="10"/>
  <c r="E27" i="10" s="1"/>
  <c r="D21" i="10"/>
  <c r="D27" i="10" s="1"/>
  <c r="C21" i="10"/>
  <c r="I21" i="10" s="1"/>
  <c r="B21" i="10"/>
  <c r="B27" i="10" s="1"/>
  <c r="F16" i="10"/>
  <c r="E16" i="10"/>
  <c r="E26" i="10" s="1"/>
  <c r="D16" i="10"/>
  <c r="D26" i="10" s="1"/>
  <c r="C16" i="10"/>
  <c r="I16" i="10" s="1"/>
  <c r="B16" i="10"/>
  <c r="B26" i="10" s="1"/>
  <c r="F11" i="10"/>
  <c r="E11" i="10"/>
  <c r="E25" i="10" s="1"/>
  <c r="D11" i="10"/>
  <c r="C11" i="10"/>
  <c r="B11" i="10"/>
  <c r="B25" i="10" s="1"/>
  <c r="F24" i="10"/>
  <c r="E6" i="10"/>
  <c r="E24" i="10" s="1"/>
  <c r="D6" i="10"/>
  <c r="C6" i="10"/>
  <c r="B6" i="10"/>
  <c r="B24" i="10" s="1"/>
  <c r="F25" i="10" l="1"/>
  <c r="H11" i="10"/>
  <c r="C25" i="10"/>
  <c r="I11" i="10"/>
  <c r="C24" i="10"/>
  <c r="I6" i="10"/>
  <c r="F26" i="10"/>
  <c r="H16" i="10"/>
  <c r="F27" i="10"/>
  <c r="H21" i="10"/>
  <c r="C26" i="10"/>
  <c r="C27" i="10"/>
  <c r="D24" i="10"/>
  <c r="D25" i="10"/>
</calcChain>
</file>

<file path=xl/comments1.xml><?xml version="1.0" encoding="utf-8"?>
<comments xmlns="http://schemas.openxmlformats.org/spreadsheetml/2006/main">
  <authors>
    <author>Móró-Szalai Lídia</author>
    <author>Reiter Szilvia</author>
  </authors>
  <commentList>
    <comment ref="C2" authorId="0" shapeId="0">
      <text>
        <r>
          <rPr>
            <sz val="12"/>
            <color indexed="81"/>
            <rFont val="Times New Roman"/>
            <family val="1"/>
            <charset val="238"/>
          </rPr>
          <t>=+J10+P10,
értelemszerűen az oszlopban végig így kellene alakulnia az összeadásnak. Ebbe az oszlopba az adatrögzítő ne tudjon írni!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D2" authorId="0" shapeId="0">
      <text>
        <r>
          <rPr>
            <sz val="12"/>
            <color indexed="81"/>
            <rFont val="Times New Roman"/>
            <family val="1"/>
            <charset val="238"/>
          </rPr>
          <t>=+J10+P10,
értelemszerűen az oszlopban végig így kellene alakulnia az összeadásnak. Ebbe az oszlopba az adatrögzítő ne tudjon írni!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E2" authorId="0" shapeId="0">
      <text>
        <r>
          <rPr>
            <sz val="12"/>
            <color indexed="81"/>
            <rFont val="Times New Roman"/>
            <family val="1"/>
            <charset val="238"/>
          </rPr>
          <t>=+J10+P10,
értelemszerűen az oszlopban végig így kellene alakulnia az összeadásnak. Ebbe az oszlopba az adatrögzítő ne tudjon írni!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H2" authorId="0" shapeId="0">
      <text>
        <r>
          <rPr>
            <sz val="12"/>
            <color indexed="81"/>
            <rFont val="Times New Roman"/>
            <family val="1"/>
            <charset val="238"/>
          </rPr>
          <t>=+J10+P10,
értelemszerűen az oszlopban végig így kellene alakulnia az összeadásnak. Ebbe az oszlopba az adatrögzítő ne tudjon írni!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I2" authorId="0" shapeId="0">
      <text>
        <r>
          <rPr>
            <sz val="12"/>
            <color indexed="81"/>
            <rFont val="Times New Roman"/>
            <family val="1"/>
            <charset val="238"/>
          </rPr>
          <t>=+J10+P10,
értelemszerűen az oszlopban végig így kellene alakulnia az összeadásnak. Ebbe az oszlopba az adatrögzítő ne tudjon írni!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W2" authorId="0" shapeId="0">
      <text>
        <r>
          <rPr>
            <sz val="12"/>
            <color indexed="81"/>
            <rFont val="Times New Roman"/>
            <family val="1"/>
            <charset val="238"/>
          </rPr>
          <t>=+J10+P10,
értelemszerűen az oszlopban végig így kellene alakulnia az összeadásnak. Ebbe az oszlopba az adatrögzítő ne tudjon írni!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A3" authorId="0" shapeId="0">
      <text>
        <r>
          <rPr>
            <b/>
            <sz val="9"/>
            <color indexed="81"/>
            <rFont val="Tahoma"/>
            <family val="2"/>
            <charset val="238"/>
          </rPr>
          <t>Szabály: 11 sor&gt;=12+13+14 sor, nem lehet 11 sor&lt;12+13+14 sor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S3" authorId="0" shapeId="0">
      <text>
        <r>
          <rPr>
            <b/>
            <sz val="9"/>
            <color indexed="81"/>
            <rFont val="Tahoma"/>
            <family val="2"/>
            <charset val="238"/>
          </rPr>
          <t>Szabály: 11 sor&gt;=12+13+14 sor, nem lehet 11 sor&lt;12+13+14 sor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V3" authorId="0" shapeId="0">
      <text>
        <r>
          <rPr>
            <b/>
            <sz val="9"/>
            <color indexed="81"/>
            <rFont val="Tahoma"/>
            <family val="2"/>
            <charset val="238"/>
          </rPr>
          <t>Szabály: 11 sor&gt;=12+13+14 sor, nem lehet 11 sor&lt;12+13+14 sor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S5" authorId="1" shapeId="0">
      <text>
        <r>
          <rPr>
            <b/>
            <sz val="9"/>
            <color indexed="81"/>
            <rFont val="Tahoma"/>
            <family val="2"/>
            <charset val="238"/>
          </rPr>
          <t>Reiter Szilvia:</t>
        </r>
        <r>
          <rPr>
            <sz val="9"/>
            <color indexed="81"/>
            <rFont val="Tahoma"/>
            <family val="2"/>
            <charset val="238"/>
          </rPr>
          <t xml:space="preserve">
Szabály 15 sor&gt;=16 sor, nem lehet 16 sor &gt;= 15 sor</t>
        </r>
      </text>
    </comment>
    <comment ref="A7" authorId="1" shapeId="0">
      <text>
        <r>
          <rPr>
            <b/>
            <sz val="9"/>
            <color indexed="81"/>
            <rFont val="Tahoma"/>
            <family val="2"/>
            <charset val="238"/>
          </rPr>
          <t>Reiter Szilvia:</t>
        </r>
        <r>
          <rPr>
            <sz val="9"/>
            <color indexed="81"/>
            <rFont val="Tahoma"/>
            <family val="2"/>
            <charset val="238"/>
          </rPr>
          <t xml:space="preserve">
Szabály 15 sor&gt;=16 sor, nem lehet 16 sor &gt;= 15 sor</t>
        </r>
      </text>
    </comment>
    <comment ref="V7" authorId="1" shapeId="0">
      <text>
        <r>
          <rPr>
            <b/>
            <sz val="9"/>
            <color indexed="81"/>
            <rFont val="Tahoma"/>
            <family val="2"/>
            <charset val="238"/>
          </rPr>
          <t>Reiter Szilvia:</t>
        </r>
        <r>
          <rPr>
            <sz val="9"/>
            <color indexed="81"/>
            <rFont val="Tahoma"/>
            <family val="2"/>
            <charset val="238"/>
          </rPr>
          <t xml:space="preserve">
Szabály 15 sor&gt;=16 sor, nem lehet 16 sor &gt;= 15 sor</t>
        </r>
      </text>
    </comment>
    <comment ref="C14" authorId="0" shapeId="0">
      <text>
        <r>
          <rPr>
            <sz val="12"/>
            <color indexed="81"/>
            <rFont val="Times New Roman"/>
            <family val="1"/>
            <charset val="238"/>
          </rPr>
          <t>=+J10+P10,
értelemszerűen az oszlopban végig így kellene alakulnia az összeadásnak. Ebbe az oszlopba az adatrögzítő ne tudjon írni!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D14" authorId="0" shapeId="0">
      <text>
        <r>
          <rPr>
            <sz val="12"/>
            <color indexed="81"/>
            <rFont val="Times New Roman"/>
            <family val="1"/>
            <charset val="238"/>
          </rPr>
          <t>=+J10+P10,
értelemszerűen az oszlopban végig így kellene alakulnia az összeadásnak. Ebbe az oszlopba az adatrögzítő ne tudjon írni!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E14" authorId="0" shapeId="0">
      <text>
        <r>
          <rPr>
            <sz val="12"/>
            <color indexed="81"/>
            <rFont val="Times New Roman"/>
            <family val="1"/>
            <charset val="238"/>
          </rPr>
          <t>=+J10+P10,
értelemszerűen az oszlopban végig így kellene alakulnia az összeadásnak. Ebbe az oszlopba az adatrögzítő ne tudjon írni!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A15" authorId="0" shapeId="0">
      <text>
        <r>
          <rPr>
            <b/>
            <sz val="9"/>
            <color indexed="81"/>
            <rFont val="Tahoma"/>
            <family val="2"/>
            <charset val="238"/>
          </rPr>
          <t>Szabály: 11 sor&gt;=12+13+14 sor, nem lehet 11 sor&lt;12+13+14 sor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A19" authorId="1" shapeId="0">
      <text>
        <r>
          <rPr>
            <b/>
            <sz val="9"/>
            <color indexed="81"/>
            <rFont val="Tahoma"/>
            <family val="2"/>
            <charset val="238"/>
          </rPr>
          <t>Reiter Szilvia:</t>
        </r>
        <r>
          <rPr>
            <sz val="9"/>
            <color indexed="81"/>
            <rFont val="Tahoma"/>
            <family val="2"/>
            <charset val="238"/>
          </rPr>
          <t xml:space="preserve">
Szabály 15 sor&gt;=16 sor, nem lehet 16 sor &gt;= 15 sor</t>
        </r>
      </text>
    </comment>
    <comment ref="A27" authorId="0" shapeId="0">
      <text>
        <r>
          <rPr>
            <b/>
            <sz val="9"/>
            <color indexed="81"/>
            <rFont val="Tahoma"/>
            <family val="2"/>
            <charset val="238"/>
          </rPr>
          <t>Szabály: 11 sor&gt;=12+13+14 sor, nem lehet 11 sor&lt;12+13+14 sor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A31" authorId="1" shapeId="0">
      <text>
        <r>
          <rPr>
            <b/>
            <sz val="9"/>
            <color indexed="81"/>
            <rFont val="Tahoma"/>
            <family val="2"/>
            <charset val="238"/>
          </rPr>
          <t>Reiter Szilvia:</t>
        </r>
        <r>
          <rPr>
            <sz val="9"/>
            <color indexed="81"/>
            <rFont val="Tahoma"/>
            <family val="2"/>
            <charset val="238"/>
          </rPr>
          <t xml:space="preserve">
Szabály 15 sor&gt;=16 sor, nem lehet 16 sor &gt;= 15 sor</t>
        </r>
      </text>
    </comment>
    <comment ref="C41" authorId="0" shapeId="0">
      <text>
        <r>
          <rPr>
            <sz val="12"/>
            <color indexed="81"/>
            <rFont val="Times New Roman"/>
            <family val="1"/>
            <charset val="238"/>
          </rPr>
          <t>=+J10+P10,
értelemszerűen az oszlopban végig így kellene alakulnia az összeadásnak. Ebbe az oszlopba az adatrögzítő ne tudjon írni!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D41" authorId="0" shapeId="0">
      <text>
        <r>
          <rPr>
            <sz val="12"/>
            <color indexed="81"/>
            <rFont val="Times New Roman"/>
            <family val="1"/>
            <charset val="238"/>
          </rPr>
          <t>=+J10+P10,
értelemszerűen az oszlopban végig így kellene alakulnia az összeadásnak. Ebbe az oszlopba az adatrögzítő ne tudjon írni!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E41" authorId="0" shapeId="0">
      <text>
        <r>
          <rPr>
            <sz val="12"/>
            <color indexed="81"/>
            <rFont val="Times New Roman"/>
            <family val="1"/>
            <charset val="238"/>
          </rPr>
          <t>=+J10+P10,
értelemszerűen az oszlopban végig így kellene alakulnia az összeadásnak. Ebbe az oszlopba az adatrögzítő ne tudjon írni!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A42" authorId="0" shapeId="0">
      <text>
        <r>
          <rPr>
            <b/>
            <sz val="9"/>
            <color indexed="81"/>
            <rFont val="Tahoma"/>
            <family val="2"/>
            <charset val="238"/>
          </rPr>
          <t>Szabály: 11 sor&gt;=12+13+14 sor, nem lehet 11 sor&lt;12+13+14 sor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A46" authorId="1" shapeId="0">
      <text>
        <r>
          <rPr>
            <b/>
            <sz val="9"/>
            <color indexed="81"/>
            <rFont val="Tahoma"/>
            <family val="2"/>
            <charset val="238"/>
          </rPr>
          <t>Reiter Szilvia:</t>
        </r>
        <r>
          <rPr>
            <sz val="9"/>
            <color indexed="81"/>
            <rFont val="Tahoma"/>
            <family val="2"/>
            <charset val="238"/>
          </rPr>
          <t xml:space="preserve">
Szabály 15 sor&gt;=16 sor, nem lehet 16 sor &gt;= 15 sor</t>
        </r>
      </text>
    </comment>
    <comment ref="C53" authorId="0" shapeId="0">
      <text>
        <r>
          <rPr>
            <sz val="12"/>
            <color indexed="81"/>
            <rFont val="Times New Roman"/>
            <family val="1"/>
            <charset val="238"/>
          </rPr>
          <t>=+J10+P10,
értelemszerűen az oszlopban végig így kellene alakulnia az összeadásnak. Ebbe az oszlopba az adatrögzítő ne tudjon írni!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D53" authorId="0" shapeId="0">
      <text>
        <r>
          <rPr>
            <sz val="12"/>
            <color indexed="81"/>
            <rFont val="Times New Roman"/>
            <family val="1"/>
            <charset val="238"/>
          </rPr>
          <t>=+J10+P10,
értelemszerűen az oszlopban végig így kellene alakulnia az összeadásnak. Ebbe az oszlopba az adatrögzítő ne tudjon írni!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E53" authorId="0" shapeId="0">
      <text>
        <r>
          <rPr>
            <sz val="12"/>
            <color indexed="81"/>
            <rFont val="Times New Roman"/>
            <family val="1"/>
            <charset val="238"/>
          </rPr>
          <t>=+J10+P10,
értelemszerűen az oszlopban végig így kellene alakulnia az összeadásnak. Ebbe az oszlopba az adatrögzítő ne tudjon írni!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A54" authorId="0" shapeId="0">
      <text>
        <r>
          <rPr>
            <b/>
            <sz val="9"/>
            <color indexed="81"/>
            <rFont val="Tahoma"/>
            <family val="2"/>
            <charset val="238"/>
          </rPr>
          <t>Szabály: 11 sor&gt;=12+13+14 sor, nem lehet 11 sor&lt;12+13+14 sor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A58" authorId="1" shapeId="0">
      <text>
        <r>
          <rPr>
            <b/>
            <sz val="9"/>
            <color indexed="81"/>
            <rFont val="Tahoma"/>
            <family val="2"/>
            <charset val="238"/>
          </rPr>
          <t>Reiter Szilvia:</t>
        </r>
        <r>
          <rPr>
            <sz val="9"/>
            <color indexed="81"/>
            <rFont val="Tahoma"/>
            <family val="2"/>
            <charset val="238"/>
          </rPr>
          <t xml:space="preserve">
Szabály 15 sor&gt;=16 sor, nem lehet 16 sor &gt;= 15 sor</t>
        </r>
      </text>
    </comment>
    <comment ref="A66" authorId="0" shapeId="0">
      <text>
        <r>
          <rPr>
            <b/>
            <sz val="9"/>
            <color indexed="81"/>
            <rFont val="Tahoma"/>
            <family val="2"/>
            <charset val="238"/>
          </rPr>
          <t>Szabály: 11 sor&gt;=12+13+14 sor, nem lehet 11 sor&lt;12+13+14 sor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A70" authorId="1" shapeId="0">
      <text>
        <r>
          <rPr>
            <b/>
            <sz val="9"/>
            <color indexed="81"/>
            <rFont val="Tahoma"/>
            <family val="2"/>
            <charset val="238"/>
          </rPr>
          <t>Reiter Szilvia:</t>
        </r>
        <r>
          <rPr>
            <sz val="9"/>
            <color indexed="81"/>
            <rFont val="Tahoma"/>
            <family val="2"/>
            <charset val="238"/>
          </rPr>
          <t xml:space="preserve">
Szabály 15 sor&gt;=16 sor, nem lehet 16 sor &gt;= 15 sor</t>
        </r>
      </text>
    </comment>
  </commentList>
</comments>
</file>

<file path=xl/comments2.xml><?xml version="1.0" encoding="utf-8"?>
<comments xmlns="http://schemas.openxmlformats.org/spreadsheetml/2006/main">
  <authors>
    <author>Reiter Szilvia</author>
  </authors>
  <commentList>
    <comment ref="AU1" authorId="0" shapeId="0">
      <text>
        <r>
          <rPr>
            <b/>
            <sz val="9"/>
            <color indexed="81"/>
            <rFont val="Tahoma"/>
            <family val="2"/>
            <charset val="238"/>
          </rPr>
          <t>Reiter Szilvia:</t>
        </r>
        <r>
          <rPr>
            <sz val="9"/>
            <color indexed="81"/>
            <rFont val="Tahoma"/>
            <family val="2"/>
            <charset val="238"/>
          </rPr>
          <t xml:space="preserve">
Korrigálva - Merkantil 2018Q1-től
</t>
        </r>
      </text>
    </comment>
    <comment ref="T2" authorId="0" shapeId="0">
      <text>
        <r>
          <rPr>
            <b/>
            <sz val="9"/>
            <color indexed="81"/>
            <rFont val="Tahoma"/>
            <family val="2"/>
            <charset val="238"/>
          </rPr>
          <t>Reiter Szilvia:</t>
        </r>
        <r>
          <rPr>
            <sz val="9"/>
            <color indexed="81"/>
            <rFont val="Tahoma"/>
            <family val="2"/>
            <charset val="238"/>
          </rPr>
          <t xml:space="preserve">
Korrigálva - Merkamtil 2018Q1-től
</t>
        </r>
      </text>
    </comment>
    <comment ref="T9" authorId="0" shapeId="0">
      <text>
        <r>
          <rPr>
            <b/>
            <sz val="9"/>
            <color indexed="81"/>
            <rFont val="Tahoma"/>
            <family val="2"/>
            <charset val="238"/>
          </rPr>
          <t>Reiter Szilvia:</t>
        </r>
        <r>
          <rPr>
            <sz val="9"/>
            <color indexed="81"/>
            <rFont val="Tahoma"/>
            <family val="2"/>
            <charset val="238"/>
          </rPr>
          <t xml:space="preserve">
Korrigálva - Merkantil 2018Q1-től
</t>
        </r>
      </text>
    </comment>
    <comment ref="T22" authorId="0" shapeId="0">
      <text>
        <r>
          <rPr>
            <b/>
            <sz val="9"/>
            <color indexed="81"/>
            <rFont val="Tahoma"/>
            <family val="2"/>
            <charset val="238"/>
          </rPr>
          <t>Reiter Szilvia:</t>
        </r>
        <r>
          <rPr>
            <sz val="9"/>
            <color indexed="81"/>
            <rFont val="Tahoma"/>
            <family val="2"/>
            <charset val="238"/>
          </rPr>
          <t xml:space="preserve">
Korrigálva - Merkatnil 2018Q1-től
</t>
        </r>
      </text>
    </comment>
    <comment ref="T35" authorId="0" shapeId="0">
      <text>
        <r>
          <rPr>
            <b/>
            <sz val="9"/>
            <color indexed="81"/>
            <rFont val="Tahoma"/>
            <family val="2"/>
            <charset val="238"/>
          </rPr>
          <t>Reiter Szilvia:</t>
        </r>
        <r>
          <rPr>
            <sz val="9"/>
            <color indexed="81"/>
            <rFont val="Tahoma"/>
            <family val="2"/>
            <charset val="238"/>
          </rPr>
          <t xml:space="preserve">
Korrigálva - Merkantil 2018Q1-től
</t>
        </r>
      </text>
    </comment>
  </commentList>
</comments>
</file>

<file path=xl/sharedStrings.xml><?xml version="1.0" encoding="utf-8"?>
<sst xmlns="http://schemas.openxmlformats.org/spreadsheetml/2006/main" count="8014" uniqueCount="1059">
  <si>
    <t xml:space="preserve">2016. I. </t>
  </si>
  <si>
    <t>2016.II.</t>
  </si>
  <si>
    <t>2016.III.</t>
  </si>
  <si>
    <t>2016.IV.</t>
  </si>
  <si>
    <t>2017.I.</t>
  </si>
  <si>
    <t>2017.II.</t>
  </si>
  <si>
    <t>2017.III.</t>
  </si>
  <si>
    <t>2017.IV.</t>
  </si>
  <si>
    <t>2018.I.</t>
  </si>
  <si>
    <t>2018.I.Ú</t>
  </si>
  <si>
    <t>2018.II.</t>
  </si>
  <si>
    <t>2018.III.</t>
  </si>
  <si>
    <t>2018.IV.</t>
  </si>
  <si>
    <t>2019.I.</t>
  </si>
  <si>
    <t>2019.II.</t>
  </si>
  <si>
    <t>2019.III.</t>
  </si>
  <si>
    <t>2019.IV.</t>
  </si>
  <si>
    <t>2020.I.</t>
  </si>
  <si>
    <t>2020.II.</t>
  </si>
  <si>
    <t>2020.III.</t>
  </si>
  <si>
    <t>2020.IV.</t>
  </si>
  <si>
    <t>2021. II.</t>
  </si>
  <si>
    <t>2021. III.</t>
  </si>
  <si>
    <t>2021. IV.</t>
  </si>
  <si>
    <t>Mgi hitel összes (millió forint)</t>
  </si>
  <si>
    <t>Élip hitel összes (millió forint)</t>
  </si>
  <si>
    <t>Agrárgazdaság összesen (millió Ft)</t>
  </si>
  <si>
    <t>2018.I.R</t>
  </si>
  <si>
    <t>Mg. egyéni gazdaságok (millió Ft)</t>
  </si>
  <si>
    <t>ÉLIP egyéni gazdaságok (millió Ft)</t>
  </si>
  <si>
    <t>Mgi hitel aránya/agrár összes (%)</t>
  </si>
  <si>
    <t>Élip hitel aránya/agrár összes (%)</t>
  </si>
  <si>
    <t xml:space="preserve">Mgi hitelek </t>
  </si>
  <si>
    <t>2018.I. Ú</t>
  </si>
  <si>
    <t>Egyéni gazdaságok (millió Ft)</t>
  </si>
  <si>
    <t>Gazdasági szervezetek (millió Ft)</t>
  </si>
  <si>
    <t>Mg. összes (millió Ft)</t>
  </si>
  <si>
    <t>Mg egyéni arány/összes (%)</t>
  </si>
  <si>
    <t>Mg gazdasági arány/összes (%)</t>
  </si>
  <si>
    <t>Agrárgazdasági hitelállomány NEGYEDÉVES változása(%)</t>
  </si>
  <si>
    <t>Mg hitel éves növekedése (%)</t>
  </si>
  <si>
    <t>Agrárgazdasági hitelállomány ÉVES változása (%)</t>
  </si>
  <si>
    <t xml:space="preserve">Élip hitelek </t>
  </si>
  <si>
    <t>Gazdasági szervezetek (millióFt)</t>
  </si>
  <si>
    <t>Élip összes (millió Ft)</t>
  </si>
  <si>
    <t>Élip egyéni arány/összes (%)</t>
  </si>
  <si>
    <t>Élip gazdasági arány/összes (%)</t>
  </si>
  <si>
    <t>Agrárgazdaság hitelállományának változása (%)</t>
  </si>
  <si>
    <t>Élip hitel ÉVES növekedése (%)</t>
  </si>
  <si>
    <t>2022.I.</t>
  </si>
  <si>
    <t>Egyéni gazdaságok aránya (%)</t>
  </si>
  <si>
    <t>Gazdasági szervezetek aránya(%)</t>
  </si>
  <si>
    <t>2019. IV.</t>
  </si>
  <si>
    <t>Egyéni gazdaságok (milliárd Ft)</t>
  </si>
  <si>
    <t>Gazdasági szervezetek (milliárd Ft)</t>
  </si>
  <si>
    <t>Mezőgazdasági beruházási hitelállomány változása (%)</t>
  </si>
  <si>
    <r>
      <rPr>
        <b/>
        <sz val="11"/>
        <color theme="1"/>
        <rFont val="Calibri"/>
        <family val="2"/>
        <charset val="238"/>
        <scheme val="minor"/>
      </rPr>
      <t>Beruházási hitelek - Mg</t>
    </r>
    <r>
      <rPr>
        <sz val="11"/>
        <color theme="1"/>
        <rFont val="Calibri"/>
        <family val="2"/>
        <charset val="238"/>
        <scheme val="minor"/>
      </rPr>
      <t xml:space="preserve"> </t>
    </r>
  </si>
  <si>
    <t>2021.II.</t>
  </si>
  <si>
    <t>2021.III.</t>
  </si>
  <si>
    <t>2021.IV.</t>
  </si>
  <si>
    <t>Mg. beruházási hitelei (milliárd Ft)</t>
  </si>
  <si>
    <t>Mezőgazdasági hosszú lejáratú forgóeszköz hitelállomány változása (%)</t>
  </si>
  <si>
    <t xml:space="preserve">Hosszú lejáratú forgóeszköz hitelek - Mg </t>
  </si>
  <si>
    <t>Mg. hosszú lejáratú forgóeszköz hitelei (milliárd Ft)</t>
  </si>
  <si>
    <t>Mezőgazdasági forint folyószámla-, és egyéb éven belüli hitelek változása (%)</t>
  </si>
  <si>
    <t xml:space="preserve">Éven belüli - Forint folyószámla és egyéb éven belüli hitelek - Mg </t>
  </si>
  <si>
    <t>Mg. forint folyószámla-, és egyéb éven belüli hitelei (milliárd Ft)</t>
  </si>
  <si>
    <t xml:space="preserve">Egyéb hitelek - Mg </t>
  </si>
  <si>
    <t>Mg. egyéb hitelei (milliárd Ft)</t>
  </si>
  <si>
    <t>Mg. Beruházási hitelei (milliárd Ft)</t>
  </si>
  <si>
    <t>Mg. Hosszú lejáratú forgóeszköz hitelei (milliárd Ft)</t>
  </si>
  <si>
    <t>Mg. Forint folyószámla- és egyéb éven belüli hitelei (milliárd Ft)</t>
  </si>
  <si>
    <t>Mg. Egyéb hitelei (milliárd Ft)</t>
  </si>
  <si>
    <t>Élip összes (milliárd Ft)</t>
  </si>
  <si>
    <t>Élip beruházási hitelei (milliárd Ft)</t>
  </si>
  <si>
    <t>Élip hosszú lejáratú forgóeszköz hitelei (milliárd Ft)</t>
  </si>
  <si>
    <t>Élip forint folyószámla-, és egyéb éven belüli hitelei (milliárd Ft)</t>
  </si>
  <si>
    <t>Élip egyéb hitelei (milliárd Ft)</t>
  </si>
  <si>
    <t xml:space="preserve">2020.IV. </t>
  </si>
  <si>
    <t>MG</t>
  </si>
  <si>
    <t>ÉLIP</t>
  </si>
  <si>
    <t>Deviza %</t>
  </si>
  <si>
    <t>Forint %</t>
  </si>
  <si>
    <t>Mg. - új hitelek - hitelcél szerinti megoszlásban</t>
  </si>
  <si>
    <t>Mg. új beruházási hitelei (milliárd Ft)</t>
  </si>
  <si>
    <t>Mg. új hosszú lejáratú forgóeszköz hitelei (milliárd Ft)</t>
  </si>
  <si>
    <t>Mg. új forint folyószámla-, és egyéb éven belüli hitelei (milliárd Ft)</t>
  </si>
  <si>
    <t>Mg. új egyéb hitelei (milliárd Ft)</t>
  </si>
  <si>
    <t>Élip beruházási hitelei (millió Ft)</t>
  </si>
  <si>
    <t>Élip hosszú lejáratú forgóeszköz hitelei (millió Ft)</t>
  </si>
  <si>
    <t>Élip forint folyószámla-, és egyéb éven belüli hitelei (millió Ft)</t>
  </si>
  <si>
    <t>Élip egyéb hitelei (millió Ft)</t>
  </si>
  <si>
    <t>Összes mg ft</t>
  </si>
  <si>
    <t>összes mg deviza</t>
  </si>
  <si>
    <t>összes élip ft</t>
  </si>
  <si>
    <t>összes élip deviza</t>
  </si>
  <si>
    <t>Összes ft</t>
  </si>
  <si>
    <t>összes mg</t>
  </si>
  <si>
    <t>összes élip</t>
  </si>
  <si>
    <t>negyedév</t>
  </si>
  <si>
    <t>év</t>
  </si>
  <si>
    <t>éves</t>
  </si>
  <si>
    <t>mg ft</t>
  </si>
  <si>
    <t>mg deviza</t>
  </si>
  <si>
    <t>2022.II.</t>
  </si>
  <si>
    <t xml:space="preserve">Beruházási hitelek - Mg </t>
  </si>
  <si>
    <t>ÉLIP beruházási hitelei (milliárd Ft)</t>
  </si>
  <si>
    <t xml:space="preserve"> ÉLIP hosszú lejáratú forgóeszköz hitelei (milliárd Ft)</t>
  </si>
  <si>
    <t>ÉLIP forint folyószámla-, és egyéb éven belüli hitelei (milliárd Ft)</t>
  </si>
  <si>
    <t>ÉLIP egyéb hitelei (milliárd Ft)</t>
  </si>
  <si>
    <t>Szántóföldi növénytermesztés</t>
  </si>
  <si>
    <t xml:space="preserve">baromfi </t>
  </si>
  <si>
    <t>sertés</t>
  </si>
  <si>
    <t xml:space="preserve">szarvasmarha </t>
  </si>
  <si>
    <t xml:space="preserve">zöldségtermelés </t>
  </si>
  <si>
    <t>Egyéb</t>
  </si>
  <si>
    <t>Mezőgazdaság összesen</t>
  </si>
  <si>
    <r>
      <t xml:space="preserve">Állattenyésztés, </t>
    </r>
    <r>
      <rPr>
        <b/>
        <i/>
        <sz val="11"/>
        <color rgb="FF000000"/>
        <rFont val="Times New Roman"/>
        <family val="1"/>
        <charset val="238"/>
      </rPr>
      <t>ebből:</t>
    </r>
  </si>
  <si>
    <r>
      <t xml:space="preserve">Kertészet, </t>
    </r>
    <r>
      <rPr>
        <b/>
        <i/>
        <sz val="11"/>
        <color rgb="FF000000"/>
        <rFont val="Times New Roman"/>
        <family val="1"/>
        <charset val="238"/>
      </rPr>
      <t>ebből</t>
    </r>
    <r>
      <rPr>
        <b/>
        <sz val="11"/>
        <color indexed="8"/>
        <rFont val="Times New Roman"/>
        <family val="1"/>
        <charset val="238"/>
      </rPr>
      <t>:</t>
    </r>
  </si>
  <si>
    <t>Egyéni</t>
  </si>
  <si>
    <t>Gazdasági</t>
  </si>
  <si>
    <t>Összesen</t>
  </si>
  <si>
    <t>Húsfeldolgozás, -tartósítás</t>
  </si>
  <si>
    <t>Baromfihús feldolgozása, tartósítása</t>
  </si>
  <si>
    <t>Hús-, baromfihús készítmény gyártása</t>
  </si>
  <si>
    <t>Gyümölcs-, zöldséglé gyártása</t>
  </si>
  <si>
    <t>Egyéb gyümölcs-, zöldség feldolgozás, tartósítás</t>
  </si>
  <si>
    <t>Olaj gyártása</t>
  </si>
  <si>
    <t>Tejtermék gyártása</t>
  </si>
  <si>
    <t>Malomipari termék gyártása</t>
  </si>
  <si>
    <t>Kenyér, friss pékáru gyártása</t>
  </si>
  <si>
    <t>Tésztafélék gyártása</t>
  </si>
  <si>
    <t>Tartósított lisztesáru gyártása</t>
  </si>
  <si>
    <t>Haszonállat eledel gyártása</t>
  </si>
  <si>
    <t>Hobbiállat eledel gyártása</t>
  </si>
  <si>
    <t xml:space="preserve">Szőlőbor termelése </t>
  </si>
  <si>
    <t>Egyéb élelmiszeripar</t>
  </si>
  <si>
    <t>Élelmiszeripar összesen</t>
  </si>
  <si>
    <t>sorrend</t>
  </si>
  <si>
    <t>Teljes hitelállomány</t>
  </si>
  <si>
    <t>ÚJ</t>
  </si>
  <si>
    <t>2022.III.</t>
  </si>
  <si>
    <t>2022. III.</t>
  </si>
  <si>
    <t>2022. I.</t>
  </si>
  <si>
    <t>Élip hitelnövekedés aránya/negyedév (%)</t>
  </si>
  <si>
    <t>Negyedéves Mrd</t>
  </si>
  <si>
    <t>Éves Mrd</t>
  </si>
  <si>
    <t xml:space="preserve">Összes új hitel: </t>
  </si>
  <si>
    <t>Egyéni mg:</t>
  </si>
  <si>
    <t>Egyéni élip:</t>
  </si>
  <si>
    <t>Gazd.szerv mg:</t>
  </si>
  <si>
    <t>Gazd.szerv élip:</t>
  </si>
  <si>
    <t>Negyedév</t>
  </si>
  <si>
    <t>Éves</t>
  </si>
  <si>
    <t>Mg összes:</t>
  </si>
  <si>
    <t>Élip összes:</t>
  </si>
  <si>
    <t>Mg. Arány %:</t>
  </si>
  <si>
    <t>Élip arány %:</t>
  </si>
  <si>
    <t>2022. IV.</t>
  </si>
  <si>
    <t>Negyedéves %</t>
  </si>
  <si>
    <t>Éves %</t>
  </si>
  <si>
    <t>Negyedéves Mrd Ft</t>
  </si>
  <si>
    <t>Éves Mrd Ft</t>
  </si>
  <si>
    <t>A ÉLIP hitelállomány hitelcél szerinti alakulása (2016.I-2022.IV)</t>
  </si>
  <si>
    <t>Mg</t>
  </si>
  <si>
    <t>Élip</t>
  </si>
  <si>
    <t>Mg %</t>
  </si>
  <si>
    <t>2022.IV.*</t>
  </si>
  <si>
    <t>2022. IV.*</t>
  </si>
  <si>
    <t>2023.I.</t>
  </si>
  <si>
    <t>Részarány (%)</t>
  </si>
  <si>
    <t>negyedév (MrD Ft)</t>
  </si>
  <si>
    <t>év (MrD Ft)</t>
  </si>
  <si>
    <t>Mg részesedése (%)</t>
  </si>
  <si>
    <t>Élip részesedése (%)</t>
  </si>
  <si>
    <t>Éves (%)</t>
  </si>
  <si>
    <t>Éves MrD</t>
  </si>
  <si>
    <t>Összes</t>
  </si>
  <si>
    <t>2022.I.*</t>
  </si>
  <si>
    <t>2022.II.*</t>
  </si>
  <si>
    <t>2022.III.*</t>
  </si>
  <si>
    <t>2023. I.*</t>
  </si>
  <si>
    <t>2023. II.</t>
  </si>
  <si>
    <t>2023.I.*</t>
  </si>
  <si>
    <t>2023.II.</t>
  </si>
  <si>
    <t>Forint</t>
  </si>
  <si>
    <t>negyedév %</t>
  </si>
  <si>
    <t>éves %</t>
  </si>
  <si>
    <t>negyedév Mrd</t>
  </si>
  <si>
    <r>
      <t xml:space="preserve">Mg. </t>
    </r>
    <r>
      <rPr>
        <sz val="11"/>
        <color rgb="FFFF0000"/>
        <rFont val="Calibri"/>
        <family val="2"/>
        <charset val="238"/>
        <scheme val="minor"/>
      </rPr>
      <t>új</t>
    </r>
    <r>
      <rPr>
        <sz val="11"/>
        <color theme="1"/>
        <rFont val="Calibri"/>
        <family val="2"/>
        <charset val="238"/>
        <scheme val="minor"/>
      </rPr>
      <t xml:space="preserve"> beruházási hitelei (milliárd Ft)</t>
    </r>
  </si>
  <si>
    <r>
      <t>Mg.</t>
    </r>
    <r>
      <rPr>
        <sz val="11"/>
        <color rgb="FFFF0000"/>
        <rFont val="Calibri"/>
        <family val="2"/>
        <charset val="238"/>
        <scheme val="minor"/>
      </rPr>
      <t xml:space="preserve"> új</t>
    </r>
    <r>
      <rPr>
        <sz val="11"/>
        <color theme="1"/>
        <rFont val="Calibri"/>
        <family val="2"/>
        <charset val="238"/>
        <scheme val="minor"/>
      </rPr>
      <t xml:space="preserve"> hosszú lejáratú forgóeszköz hitelei (milliárd Ft)</t>
    </r>
  </si>
  <si>
    <r>
      <t>Mg.</t>
    </r>
    <r>
      <rPr>
        <sz val="11"/>
        <color rgb="FFFF0000"/>
        <rFont val="Calibri"/>
        <family val="2"/>
        <charset val="238"/>
        <scheme val="minor"/>
      </rPr>
      <t xml:space="preserve"> új</t>
    </r>
    <r>
      <rPr>
        <sz val="11"/>
        <color theme="1"/>
        <rFont val="Calibri"/>
        <family val="2"/>
        <charset val="238"/>
        <scheme val="minor"/>
      </rPr>
      <t xml:space="preserve"> forint folyószámla-, és egyéb éven belüli hitelei (milliárd Ft)</t>
    </r>
  </si>
  <si>
    <r>
      <t xml:space="preserve">Mg. </t>
    </r>
    <r>
      <rPr>
        <sz val="11"/>
        <color rgb="FFFF0000"/>
        <rFont val="Calibri"/>
        <family val="2"/>
        <charset val="238"/>
        <scheme val="minor"/>
      </rPr>
      <t>új</t>
    </r>
    <r>
      <rPr>
        <sz val="11"/>
        <color theme="1"/>
        <rFont val="Calibri"/>
        <family val="2"/>
        <charset val="238"/>
        <scheme val="minor"/>
      </rPr>
      <t xml:space="preserve"> egyéb hitelei (milliárd Ft)</t>
    </r>
  </si>
  <si>
    <r>
      <t xml:space="preserve">Élip </t>
    </r>
    <r>
      <rPr>
        <sz val="11"/>
        <color rgb="FFFF0000"/>
        <rFont val="Calibri"/>
        <family val="2"/>
        <charset val="238"/>
        <scheme val="minor"/>
      </rPr>
      <t xml:space="preserve">új </t>
    </r>
    <r>
      <rPr>
        <sz val="11"/>
        <color theme="1"/>
        <rFont val="Calibri"/>
        <family val="2"/>
        <charset val="238"/>
        <scheme val="minor"/>
      </rPr>
      <t>beruházási hitelei (milliárd Ft)</t>
    </r>
  </si>
  <si>
    <r>
      <t xml:space="preserve">Élip </t>
    </r>
    <r>
      <rPr>
        <sz val="11"/>
        <color rgb="FFFF0000"/>
        <rFont val="Calibri"/>
        <family val="2"/>
        <charset val="238"/>
        <scheme val="minor"/>
      </rPr>
      <t>új</t>
    </r>
    <r>
      <rPr>
        <sz val="11"/>
        <color theme="1"/>
        <rFont val="Calibri"/>
        <family val="2"/>
        <charset val="238"/>
        <scheme val="minor"/>
      </rPr>
      <t xml:space="preserve"> hosszú lejáratú forgóeszköz hitelei (milliárd Ft)</t>
    </r>
  </si>
  <si>
    <r>
      <t xml:space="preserve">Élip </t>
    </r>
    <r>
      <rPr>
        <sz val="11"/>
        <color rgb="FFFF0000"/>
        <rFont val="Calibri"/>
        <family val="2"/>
        <charset val="238"/>
        <scheme val="minor"/>
      </rPr>
      <t>új</t>
    </r>
    <r>
      <rPr>
        <sz val="11"/>
        <color theme="1"/>
        <rFont val="Calibri"/>
        <family val="2"/>
        <charset val="238"/>
        <scheme val="minor"/>
      </rPr>
      <t xml:space="preserve"> forint folyószámla-, és egyéb éven belüli hitelei (milliárd Ft)</t>
    </r>
  </si>
  <si>
    <r>
      <t xml:space="preserve">Élip </t>
    </r>
    <r>
      <rPr>
        <sz val="11"/>
        <color rgb="FFFF0000"/>
        <rFont val="Calibri"/>
        <family val="2"/>
        <charset val="238"/>
        <scheme val="minor"/>
      </rPr>
      <t>új</t>
    </r>
    <r>
      <rPr>
        <sz val="11"/>
        <color theme="1"/>
        <rFont val="Calibri"/>
        <family val="2"/>
        <charset val="238"/>
        <scheme val="minor"/>
      </rPr>
      <t xml:space="preserve"> egyéb hitelei (milliárd Ft)</t>
    </r>
  </si>
  <si>
    <r>
      <t xml:space="preserve">Élip </t>
    </r>
    <r>
      <rPr>
        <sz val="11"/>
        <color rgb="FFFF0000"/>
        <rFont val="Calibri"/>
        <family val="2"/>
        <charset val="238"/>
        <scheme val="minor"/>
      </rPr>
      <t>új</t>
    </r>
    <r>
      <rPr>
        <sz val="11"/>
        <color theme="1"/>
        <rFont val="Calibri"/>
        <family val="2"/>
        <charset val="238"/>
        <scheme val="minor"/>
      </rPr>
      <t xml:space="preserve"> beruházási hitelei (milliárd Ft)</t>
    </r>
  </si>
  <si>
    <r>
      <rPr>
        <sz val="11"/>
        <rFont val="Calibri"/>
        <family val="2"/>
        <charset val="238"/>
        <scheme val="minor"/>
      </rPr>
      <t>Élip</t>
    </r>
    <r>
      <rPr>
        <sz val="11"/>
        <color rgb="FFFF0000"/>
        <rFont val="Calibri"/>
        <family val="2"/>
        <charset val="238"/>
        <scheme val="minor"/>
      </rPr>
      <t xml:space="preserve"> új</t>
    </r>
    <r>
      <rPr>
        <sz val="11"/>
        <color theme="1"/>
        <rFont val="Calibri"/>
        <family val="2"/>
        <charset val="238"/>
        <scheme val="minor"/>
      </rPr>
      <t xml:space="preserve"> hosszú lejáratú forgóeszköz hitelei (milliárd Ft)</t>
    </r>
  </si>
  <si>
    <r>
      <rPr>
        <sz val="11"/>
        <rFont val="Calibri"/>
        <family val="2"/>
        <charset val="238"/>
        <scheme val="minor"/>
      </rPr>
      <t>Élip</t>
    </r>
    <r>
      <rPr>
        <sz val="11"/>
        <color rgb="FFFF0000"/>
        <rFont val="Calibri"/>
        <family val="2"/>
        <charset val="238"/>
        <scheme val="minor"/>
      </rPr>
      <t xml:space="preserve"> új</t>
    </r>
    <r>
      <rPr>
        <sz val="11"/>
        <color theme="1"/>
        <rFont val="Calibri"/>
        <family val="2"/>
        <charset val="238"/>
        <scheme val="minor"/>
      </rPr>
      <t xml:space="preserve"> forint folyószámla-, és egyéb éven belüli hitelei (milliárd Ft)</t>
    </r>
  </si>
  <si>
    <t xml:space="preserve">Új hitelek: </t>
  </si>
  <si>
    <t>2021.I.</t>
  </si>
  <si>
    <t>2021. I.</t>
  </si>
  <si>
    <t>2020. IV.</t>
  </si>
  <si>
    <t xml:space="preserve">2019.I. </t>
  </si>
  <si>
    <t>AM - Mg. gazdasági szervezetek (milliárd Ft)</t>
  </si>
  <si>
    <t>MNB - Mg. gazdasági szervezetek (milliárd Ft)</t>
  </si>
  <si>
    <t>Egyéni Mg</t>
  </si>
  <si>
    <t>Egyéni élip</t>
  </si>
  <si>
    <t>Egyéni összes</t>
  </si>
  <si>
    <t>Társas Mg</t>
  </si>
  <si>
    <t>Társas élip</t>
  </si>
  <si>
    <t>Társas összes</t>
  </si>
  <si>
    <t>Teljes állomány</t>
  </si>
  <si>
    <t>Teljes MG</t>
  </si>
  <si>
    <t>Teljes élip</t>
  </si>
  <si>
    <t>AM</t>
  </si>
  <si>
    <t>MNB negyedéves növekedés milliárd forint</t>
  </si>
  <si>
    <t>2020.Q1.</t>
  </si>
  <si>
    <t>MNB</t>
  </si>
  <si>
    <t>MNB negyedéves %</t>
  </si>
  <si>
    <t>AM negyedéves növekedés milliárd forint</t>
  </si>
  <si>
    <t>AM negyedéves %</t>
  </si>
  <si>
    <t>MNB éves növekedés milliárd forint</t>
  </si>
  <si>
    <t>2019. Q1</t>
  </si>
  <si>
    <t>MNB éves %</t>
  </si>
  <si>
    <t xml:space="preserve">Mezőgazdasági hitelállomány </t>
  </si>
  <si>
    <t>AM éves növekedés milliárd forint</t>
  </si>
  <si>
    <t>AM éves %</t>
  </si>
  <si>
    <t>Kertészet</t>
  </si>
  <si>
    <t>Mg. hitelnövekedés aránya/év (%)</t>
  </si>
  <si>
    <t>AM-MNB közti különbség %</t>
  </si>
  <si>
    <t xml:space="preserve"> Mezőgazdasági és élelmiszeripari hitelek ÉVES változása negyedévenként</t>
  </si>
  <si>
    <t>Egyéb állattenyésztés</t>
  </si>
  <si>
    <t>Mgi hitelek - éves változás</t>
  </si>
  <si>
    <t>2017.I./2016.I.</t>
  </si>
  <si>
    <t>2017.II./2016.II.</t>
  </si>
  <si>
    <t>2017.III./2016.III.</t>
  </si>
  <si>
    <t>2017.IV./2016.IV.</t>
  </si>
  <si>
    <t>2018.I./2017.I.</t>
  </si>
  <si>
    <t>2018.II./2017.II.</t>
  </si>
  <si>
    <t>2018.III/2017.III.</t>
  </si>
  <si>
    <t>2018.IV./2017.IV.</t>
  </si>
  <si>
    <t>2019.I./2018.I.</t>
  </si>
  <si>
    <t>2019.II./2018.II.</t>
  </si>
  <si>
    <t>2019.III./2018.III.</t>
  </si>
  <si>
    <t>2019.IV./2018.IV.</t>
  </si>
  <si>
    <t>2020.I./2019.I.</t>
  </si>
  <si>
    <t>2020.II./2019.II.</t>
  </si>
  <si>
    <t>2020.III./2019.III.</t>
  </si>
  <si>
    <t>2020.IV./2019.IV.</t>
  </si>
  <si>
    <t>2021.I./2020.I.</t>
  </si>
  <si>
    <t xml:space="preserve">     baromfi</t>
  </si>
  <si>
    <t>Társas</t>
  </si>
  <si>
    <t>Egyéni gazdaságok (%)</t>
  </si>
  <si>
    <t xml:space="preserve">     sertés</t>
  </si>
  <si>
    <t>Gazdasági szervezetek (%)</t>
  </si>
  <si>
    <t xml:space="preserve">     szarvasmarha</t>
  </si>
  <si>
    <t>Élip hitelek - éves változás</t>
  </si>
  <si>
    <t>Összeg</t>
  </si>
  <si>
    <t>Agrár</t>
  </si>
  <si>
    <t>Állattenyésztés, ebből:</t>
  </si>
  <si>
    <t>Egyéb növénytermesztés</t>
  </si>
  <si>
    <t>Egyéb állattenyésztés:</t>
  </si>
  <si>
    <t>Mezőgazdasági és élelmiszeripari hitelek NEGYEDÉVENKÉNTI változása</t>
  </si>
  <si>
    <t>Baromfi</t>
  </si>
  <si>
    <t>2019. Q2</t>
  </si>
  <si>
    <t>Élip hitelnövekedés aránya/év (%)</t>
  </si>
  <si>
    <t>Mgi hitelek - negyedéves változás</t>
  </si>
  <si>
    <t>2017.I./2016.IV.</t>
  </si>
  <si>
    <t>2017.II./2017.I.</t>
  </si>
  <si>
    <t>2017.III./2017.II.</t>
  </si>
  <si>
    <t>2017.IV./2017.III.</t>
  </si>
  <si>
    <t>2018.I./2017.IV.</t>
  </si>
  <si>
    <t>2018.II./2018.I.</t>
  </si>
  <si>
    <t>2018.III/2018.II.</t>
  </si>
  <si>
    <t>2018.IV./2018.III.</t>
  </si>
  <si>
    <t>2019.I./2018.IV.</t>
  </si>
  <si>
    <t>2019.II./2019.I.</t>
  </si>
  <si>
    <t>2019.III./2019.II.</t>
  </si>
  <si>
    <t>2019.IV./2019.III.</t>
  </si>
  <si>
    <t>2020.II./2020.I.</t>
  </si>
  <si>
    <t>2020.III./2020.II.</t>
  </si>
  <si>
    <t>2020.IV./2020.III.</t>
  </si>
  <si>
    <t>Kertészet, ebből:</t>
  </si>
  <si>
    <t>Sertés</t>
  </si>
  <si>
    <t xml:space="preserve">     zöldségtermelés</t>
  </si>
  <si>
    <t>Szarvasmarha</t>
  </si>
  <si>
    <t>Összes (millió Ft)</t>
  </si>
  <si>
    <t>Élip hitelek - negyedéves változás</t>
  </si>
  <si>
    <t>Élelmiszeripari hitelállomány</t>
  </si>
  <si>
    <t>Össz</t>
  </si>
  <si>
    <t>AM - ÉLIP gazdasági szervezetek (milliárd Ft)</t>
  </si>
  <si>
    <t>Egyéb élelmiszeripar**</t>
  </si>
  <si>
    <t>MNB - ÉLIP gazdasági szervezetek (milliárd Ft)</t>
  </si>
  <si>
    <t>Baromfihúsfeldolgozás, tartósítása</t>
  </si>
  <si>
    <t>Húsfeldolgozás, tartósítás</t>
  </si>
  <si>
    <t>Beruházási hitelek Mg</t>
  </si>
  <si>
    <t>2020. I.</t>
  </si>
  <si>
    <t>2020. II.</t>
  </si>
  <si>
    <t>2020. III.</t>
  </si>
  <si>
    <t>Szőlőbor termelése</t>
  </si>
  <si>
    <t>Egyéni/beruházási összes (%)</t>
  </si>
  <si>
    <t>Gazdasági szervezet/beruházási összes (%)</t>
  </si>
  <si>
    <t>Mg. beruházási hitelei - összes (millió Ft)</t>
  </si>
  <si>
    <t xml:space="preserve">Szakágazati megoszlás 2019. Q3. </t>
  </si>
  <si>
    <t>Mg-i beruházási hitelek/Mg. összes (%)</t>
  </si>
  <si>
    <t>Mg. beruházási hitelnövekedés aránya/év (%)</t>
  </si>
  <si>
    <t>Szakág.megoszlás
2019. Q4
(%)</t>
  </si>
  <si>
    <t>2018. Q4
(millió HUF)</t>
  </si>
  <si>
    <t>2019. Q4
(millió HUF)</t>
  </si>
  <si>
    <t>Éves növekedés
(%/)</t>
  </si>
  <si>
    <t>Mg egyéni arány/Mg. összes (%)</t>
  </si>
  <si>
    <t>Mg gazdasági arány/Mg. összes (%)</t>
  </si>
  <si>
    <t>Beruházási hitelállomány - mezőgazdaság és élelmiszeripar</t>
  </si>
  <si>
    <r>
      <t xml:space="preserve">Állattenyésztés, </t>
    </r>
    <r>
      <rPr>
        <b/>
        <i/>
        <sz val="11"/>
        <color indexed="8"/>
        <rFont val="Times New Roman"/>
        <family val="1"/>
        <charset val="238"/>
      </rPr>
      <t>ebből:</t>
    </r>
  </si>
  <si>
    <t>baromfi</t>
  </si>
  <si>
    <t>Mg. beruházási hitel aránya/agrár összes (%)</t>
  </si>
  <si>
    <t>Szakágazat</t>
  </si>
  <si>
    <t>Mezőgazdaság beruházási hitelállománya (millárd Ft)</t>
  </si>
  <si>
    <t>Élelmiszeripar beruházási hitelállománya (milliárd Ft)</t>
  </si>
  <si>
    <t>Beruházási hitelek ÉLIP</t>
  </si>
  <si>
    <t>Beruházási hitelek  - Élip</t>
  </si>
  <si>
    <t>Élip beruházási hitelei - összes (millió Ft)</t>
  </si>
  <si>
    <t>Beruházási hitelek/ÉLIP összes (%)</t>
  </si>
  <si>
    <t>Élip beruházási hitelnövekedés aránya/év (%)</t>
  </si>
  <si>
    <t>Élip egyéni arány/ÉLIP összes (%)</t>
  </si>
  <si>
    <t>Élip gazdasági arány/ÉLIP összes (%)</t>
  </si>
  <si>
    <t>Rész (%)</t>
  </si>
  <si>
    <t>Élip beruházási hitel aránya/agrár összes (%)</t>
  </si>
  <si>
    <t xml:space="preserve"> Beruházási hitelek ÉVES változása</t>
  </si>
  <si>
    <t>Mgi beruházási hitelek - éves változás</t>
  </si>
  <si>
    <t>Egyéni gazdaságok - éves változás (%)</t>
  </si>
  <si>
    <t>Gazdasági szervezetek - éves változás(%)</t>
  </si>
  <si>
    <t>Mg. beruházási összes éves változás (%)</t>
  </si>
  <si>
    <t xml:space="preserve">Mg.2018Q3 - Merkantillal kieg. </t>
  </si>
  <si>
    <t>Élip beruházási hitelek - éves változás</t>
  </si>
  <si>
    <t>Élip beruházási összes éves változás (%)</t>
  </si>
  <si>
    <t>Beruházási hitelek NEGYEDÉVENKÉNTI változása</t>
  </si>
  <si>
    <t>Mgi beruházási hitelek - negyedéves változás</t>
  </si>
  <si>
    <t>2020.I./2019.IV.</t>
  </si>
  <si>
    <t>2021.I./2020.IV.</t>
  </si>
  <si>
    <t>Egyéni gazdaságok - negyedéves változás (%)</t>
  </si>
  <si>
    <t>Gazdasági szervezetek - negyedéves változás(%)</t>
  </si>
  <si>
    <t>Mg. beruházási összes negyedéves változás (%)</t>
  </si>
  <si>
    <t xml:space="preserve">Élip.2018Q3 - Merkantillal kieg. </t>
  </si>
  <si>
    <t>Élip beruházási hitelek - negyedéves változás</t>
  </si>
  <si>
    <t>Élip beruházási összes negyedéves változás (%)</t>
  </si>
  <si>
    <t>Hosszú lejáratú forgóeszközhitelek Mg</t>
  </si>
  <si>
    <t>Egyéni/hosszú lejáratú forgóeszközhitel összes (%)</t>
  </si>
  <si>
    <t>Gazdasági szervezet/hosszú lejáratú forgóeszköz összes (%)</t>
  </si>
  <si>
    <t>Mg. hosszú lejáratú - összes (millió Ft)</t>
  </si>
  <si>
    <t>Hosszú lejáratú forgóeszköz hitelek/Mg. összes (%)</t>
  </si>
  <si>
    <t>Mg. hosszú lejáratú f.e. hitelnövekedés aránya/év (%)</t>
  </si>
  <si>
    <t>Mgi hosszú lejáratú f.e. hitel aránya/agrár összes (%)</t>
  </si>
  <si>
    <t>Hosszú lejáratú forgóeszközhitelek ÉLIP</t>
  </si>
  <si>
    <t>Hosszú lejáratú forgóeszközhitelek  - Élip</t>
  </si>
  <si>
    <t>Élip hosszú lejáratú - összes (millió Ft)</t>
  </si>
  <si>
    <t>Hosszú lejáratú forgóeszköz hitelek/ÉLIP összes (%)</t>
  </si>
  <si>
    <t>Élip hosszú lejáratú f.e. hitelnövekedés aránya/év (%)</t>
  </si>
  <si>
    <t>Élip hosszú lejáratú f.e. hitel aránya/agrár összes (%)</t>
  </si>
  <si>
    <t>Hosszú lejáratú forgóeszközhitelek ÉVES változása</t>
  </si>
  <si>
    <t>Mg. éves változás (%)</t>
  </si>
  <si>
    <t>Élip éves változás (%)</t>
  </si>
  <si>
    <t>Hosszú lejáratú forgóeszközhitelek NEGYEDÉVENKÉNTI változása</t>
  </si>
  <si>
    <t>Éven túli hitelek- Beruházási és hoszzú lejáratú forgóeszköz hitelek - Mg</t>
  </si>
  <si>
    <t xml:space="preserve">Éven túli - Beruházási és hoszzú lejáratú hitelek - Mg </t>
  </si>
  <si>
    <t>Egyéni/éven túli hitelek -  összes (%)</t>
  </si>
  <si>
    <t>Gazdasági szervezet/éven túli hitelek - összes (%)</t>
  </si>
  <si>
    <t>Mg. éven túli hitel - összes (millió Ft)</t>
  </si>
  <si>
    <t>Éven túli hitelek/Mg. összes (%)</t>
  </si>
  <si>
    <t>Éven túli hitelek - Beruházási és hoszzú lejáratú forgóeszköz hitelek - ÉLIP</t>
  </si>
  <si>
    <t>Éven túli - Beruházási és hosszú lejáratú hitelek  - Élip</t>
  </si>
  <si>
    <t>Élip beruházási - összes (millió Ft)</t>
  </si>
  <si>
    <t>Gazdasági szervezetek (milliárdFt)</t>
  </si>
  <si>
    <t>Éven túli hitelek/ÉLIP összes (%)</t>
  </si>
  <si>
    <t>Éven túli - Beruházási és hosszú lejáratú forgóeszközhitelek ÉVES változása</t>
  </si>
  <si>
    <t>Éven túli Mgi hitelek - éves változás</t>
  </si>
  <si>
    <t>Mg. éves beruházási hitel változás (%)</t>
  </si>
  <si>
    <t>Éven túli Élip hitelek - éves változás</t>
  </si>
  <si>
    <t>Élip éves beruházási hitel változás (%)</t>
  </si>
  <si>
    <t>Éven túli - Beruházási és hosszú lejáratú forgóeszközhitelek NEGYEDÉVENKÉNTI változása</t>
  </si>
  <si>
    <t>Éven túli Mgi hitelek - negyedéves változás</t>
  </si>
  <si>
    <t>Mg. negyedéves beruházási hitel változás (%)</t>
  </si>
  <si>
    <t>Éven túli Élip hitelek - negyedéves változás</t>
  </si>
  <si>
    <t>Élip negyedéves beruházási hitel változás (%)</t>
  </si>
  <si>
    <t>Éven belüli hitelek- Forint folyószámla és egyéb éven belüli hitelek - Mg</t>
  </si>
  <si>
    <t>Egyéni/éven belüli hitelek -  összes (%)</t>
  </si>
  <si>
    <t>Gazdasági szervezet/éven belüli hitelek - összes (%)</t>
  </si>
  <si>
    <t>Mg. éven belüli hitel - összes (millió Ft)</t>
  </si>
  <si>
    <t>Éven belüli hitelek/Mg. összes (%)</t>
  </si>
  <si>
    <t>Mg. éven belüli hitelnövekedés aránya/év (%)</t>
  </si>
  <si>
    <t>Mg. Éven belüli hitel aránya/agrár összes (%)</t>
  </si>
  <si>
    <t>Éven belüli hitelek- Forint folyószámla és egyéb éven belüli hitelek - ÉLIP</t>
  </si>
  <si>
    <t>Éven belüli - Forint folyószámla és egyéb éven belüli hitelek  - Élip</t>
  </si>
  <si>
    <t>Élip éven belüli - összes (millió Ft)</t>
  </si>
  <si>
    <t>Éven belüli hitelek/ÉLIP összes (%)</t>
  </si>
  <si>
    <t>Élip éven belüli hitelnövekedés aránya/év (%)</t>
  </si>
  <si>
    <t>Egyéni gazdaságok összes hitele</t>
  </si>
  <si>
    <t>Mg-i egyéni gazdaságok (milliárd Ft)</t>
  </si>
  <si>
    <t>Élip éven belüli hitel aránya/agrár összes (%)</t>
  </si>
  <si>
    <t>ÉLIP egyéni gazdaságok (milliárd Ft)</t>
  </si>
  <si>
    <t>Agrárgazdaság össz. egyéni (milliárd Ft)</t>
  </si>
  <si>
    <t>Éven belüli hitelek - Forint folyószámla és éven belüli hitelek ÉVES változása</t>
  </si>
  <si>
    <t>Éven belüli Mgi hitelek - éves változás</t>
  </si>
  <si>
    <t xml:space="preserve">Gazdasági szervezetek összes hitele </t>
  </si>
  <si>
    <t>Mg-i gazdasági szervezetek (milliárd Ft)</t>
  </si>
  <si>
    <t>Mg. éves éven belüli hitel változás (%)</t>
  </si>
  <si>
    <t>ÉLIP gazdasági szervezetek (milliárdFt)</t>
  </si>
  <si>
    <t>Éven belüli Élip hitelek - éves változás</t>
  </si>
  <si>
    <t>Agrárgazdaság össz. gazdasági szervezet (milliárd Ft)</t>
  </si>
  <si>
    <t>Élip éves éven belüli hitel változás (%)</t>
  </si>
  <si>
    <t>Éven belüli hitelek - Forint folyószámla és éven belüli hitelek NEGYEDÉVENKÉNTI változása</t>
  </si>
  <si>
    <t>Éven belüli Mgi hitelek - negyedéves változás</t>
  </si>
  <si>
    <t>Mg. negyedéves éven belüli hitel változás (%)</t>
  </si>
  <si>
    <t>Éven belüli Élip hitelek - negyedéves változás</t>
  </si>
  <si>
    <t>2016.I.</t>
  </si>
  <si>
    <t>Élip negyedéves éven belüli hitel változás (%)</t>
  </si>
  <si>
    <t>Egyéb hitelek - Mg</t>
  </si>
  <si>
    <t>Egyéni/egyéb hitelek -  összes (%)</t>
  </si>
  <si>
    <t>Gazdasági szervezet/egyéb hitelek - összes (%)</t>
  </si>
  <si>
    <t>Mg. egyéb hitel - összes (millió Ft)</t>
  </si>
  <si>
    <t>Egyéb hitelek/Mg. összes (%)</t>
  </si>
  <si>
    <t>Mg. egyéb hitelnövekedés aránya/év (%)</t>
  </si>
  <si>
    <t>Mg. egyéb hitel aránya/agrár összes (%)</t>
  </si>
  <si>
    <t>Egyéb hitelek - ÉLIP</t>
  </si>
  <si>
    <t>Egyéb hitelek  - Élip</t>
  </si>
  <si>
    <t>Élip egyéb hitelek - összes (millió Ft)</t>
  </si>
  <si>
    <t>Egyéb hitelek/ÉLIP összes (%)</t>
  </si>
  <si>
    <t>Élip egyéb hitelnövekedés aránya/év (%)</t>
  </si>
  <si>
    <t>Élip egyéb hitel aránya/agrár összes (%)</t>
  </si>
  <si>
    <t>Beruházási</t>
  </si>
  <si>
    <t>Egyéb hitelek - ÉVES változása</t>
  </si>
  <si>
    <t>Egyéb Mgi hitelek - éves változás</t>
  </si>
  <si>
    <t>Hosszú lejáratú forgóeszköz</t>
  </si>
  <si>
    <t>Mg. éves egyéb hitel változás (%)</t>
  </si>
  <si>
    <t>Egyéb Élip hitelek - éves változás</t>
  </si>
  <si>
    <t>Élip éves egyéb hitel változás (%)</t>
  </si>
  <si>
    <t>Forint folyó és egyéb éven belüli</t>
  </si>
  <si>
    <t>Egyéb hitelek - NEGYEDÉVENKÉNTI változása</t>
  </si>
  <si>
    <t>Egyéb Mgi hitelek - negyedéves változás</t>
  </si>
  <si>
    <t>Egyéb hitelek</t>
  </si>
  <si>
    <t>Mg. negyedéves egyéb hitel változás (%)</t>
  </si>
  <si>
    <t>Egyéb Élip hitelek - negyedéves változás</t>
  </si>
  <si>
    <t>Élip negyedéves egyéb hitel változás (%)</t>
  </si>
  <si>
    <t>Forint folyószámla hitelek - Mg</t>
  </si>
  <si>
    <t>Forint folyószámla hitelek - Mg.</t>
  </si>
  <si>
    <t>Egyéni/forint folyószámla hitelek -  összes (%)</t>
  </si>
  <si>
    <t>Gazdasági szervezet/forint folyószámla hitelek - összes (%)</t>
  </si>
  <si>
    <t>Mg. forint folyószámla hitel - összes (millió Ft)</t>
  </si>
  <si>
    <t>Forint folyószámla hitelek/Mg. összes (%)</t>
  </si>
  <si>
    <t>Mg. összes (millió FT)</t>
  </si>
  <si>
    <t>Mg. forint folyószámlahitel növekedés aránya/év (%)</t>
  </si>
  <si>
    <t>Mgi forint folyószámlahitel aránya/agrár összes (%)</t>
  </si>
  <si>
    <t>Forint folyószámla hitelek - ÉLIP</t>
  </si>
  <si>
    <t>beruházási</t>
  </si>
  <si>
    <t>Forint folyószámla hitelek - Élip</t>
  </si>
  <si>
    <t>hosszú</t>
  </si>
  <si>
    <t>éven belüli</t>
  </si>
  <si>
    <t>egyéb</t>
  </si>
  <si>
    <t>Élelmiszeriőpari hosszú lejáratú forgóeszközhitel változása</t>
  </si>
  <si>
    <t>Élip forint folyószámla hitel - összes (millió Ft)</t>
  </si>
  <si>
    <t>Forint folyószámla hitelek/ÉLIP összes (%)</t>
  </si>
  <si>
    <t>Élip forint folyószámla hitelnövekedés aránya/év (%)</t>
  </si>
  <si>
    <t xml:space="preserve">2020 IV. negyedév végén a mezőgazdaság teljes hitelállománya 814,9 milliárd forint volt. A mezőgazdasági hitelállomány az elmúlt 5 évben, összesen 373,7 milliárd forinttal nőtt, ami jelentős, 87,7%-os bővülést jelent, a 2016. I. negyedéves állomány majdnem dupláját. Az élelmiszeripar teljes hitelállománya 2020. év végére 616,5 milliárd forintra rúgott, ami 60,6%-os növekedést, forintban kifejezve 383,8 milliárd forintos emelkedést jelent. Az elmúlt 5 évet igen kedvező hitelkondíciók, rendkívül alacsony, támogatott kamatok jellemezték, vagyis nyugodtan kijelenthetjük, hogy hitelezés szempontjából igazi aranykort érhettek meg a vállalkozások. Hitelcélok szerinti bontásban a mezőgazdasági hiteleknél, a beruházási hitelek trendje mutat folyamatosan emelkedő tendeciát a vizsgált időszakban és ugyanez az emelkedés mondható el a forintfolyószámal és egyéb éven belüli hiteleről is. Az élelmiszeripar esetében ugyancsak a beruházi hitelek, illetve a hosszú lejáratú forgóeszközhitelek és kisebb mértékben ugyan, de a forint folyószámla és egyéb éven belüli hitelek emelkedtek a tárgyalt időszakban végig. </t>
  </si>
  <si>
    <t>Élip forint folyószámlahitel aránya/agrár összes (%)</t>
  </si>
  <si>
    <t>Forint folyószámlahitelek ÉVES változása</t>
  </si>
  <si>
    <t>Éven belüli Mgi forint folyószámlahitelek - éves változás</t>
  </si>
  <si>
    <t>Forint folyószámlahitelek NEGYEDÉVENKÉNTI változása</t>
  </si>
  <si>
    <t>Éven belüli Mgi forint folyószámlahitelek - negyedéves változás</t>
  </si>
  <si>
    <t>Egyéb éven belüli forint-, és devizahitelek - Mg</t>
  </si>
  <si>
    <t>Egyéb éven belüli forint-, és devizahitelek - Mg.</t>
  </si>
  <si>
    <t>Egyéni/egyéb éven belüli hitelek -  összes (%)</t>
  </si>
  <si>
    <t>Gazdasági szervezet/egyéb éven belüli hitelek - összes (%)</t>
  </si>
  <si>
    <t>Mg. egyéb éven belüli hitelek - összes (millió Ft)</t>
  </si>
  <si>
    <t>Egyéb éven belüli hitelek/Mg. összes (%)</t>
  </si>
  <si>
    <t>Mg. egyéb éven belüli hitelnövekedés aránya/év (%)</t>
  </si>
  <si>
    <t>Mgi egyéb éven belüli forint-, és devizahitel aránya/agrár összes (%)</t>
  </si>
  <si>
    <t>Egyéb éven belüli forint-, devizahitelek - ÉLIP</t>
  </si>
  <si>
    <t>Egyéb éven belüli forint-, devizahitelek - Élip</t>
  </si>
  <si>
    <t>ÉLIP egyéb éven belüli hitelek - összes (millió Ft)</t>
  </si>
  <si>
    <t>Egyéb éven belüli hitelek/ÉLIP összes (%)</t>
  </si>
  <si>
    <t>ÉLIP összes (millió Ft)</t>
  </si>
  <si>
    <t>ÉLIP Egyéb éven belüli hitelnövekedés aránya/év (%)</t>
  </si>
  <si>
    <t>ÉLIP egyéni arány/ÉLIP összes (%)</t>
  </si>
  <si>
    <t>ÉLIP gazdasági arány/ÉLIP összes (%)</t>
  </si>
  <si>
    <t>Egyéb éven belüli forint-, és devizahitelek ÉVES változása</t>
  </si>
  <si>
    <t>Egyéb éven belüli Mgi hitelek - éves változás</t>
  </si>
  <si>
    <t>Egyéb éven belüli Élip hitelek - éves változás</t>
  </si>
  <si>
    <t>Egyéb éven belüli forint-, és devizahitelek NEGYEDÉVENKÉNTI változása</t>
  </si>
  <si>
    <t>Egyéb éven belüli Mgi hitelek - negyedéves változás</t>
  </si>
  <si>
    <t>Egyéb éven belüli Élip hitelek - negyedéves változás</t>
  </si>
  <si>
    <t>Forinthitelek - Mezőgazdaság</t>
  </si>
  <si>
    <t>Megnevezés</t>
  </si>
  <si>
    <t>Forinthitelek - Mg.</t>
  </si>
  <si>
    <t>Mezőgazdasági forinthitelek - összes (millió Ft)</t>
  </si>
  <si>
    <t>Mgi forinthitel aránya/mgi összes (%)</t>
  </si>
  <si>
    <t>Mezőgazdasági devizahitelek - összes (millió Ft)</t>
  </si>
  <si>
    <t>ÉLIP forinthitel aránya/ÉLIP összes (%)</t>
  </si>
  <si>
    <t>Mezőgazdasági forinthitelek/teljes hitelállomány (%)</t>
  </si>
  <si>
    <t>Mgi devizahitel aránya/mgi összes (%)</t>
  </si>
  <si>
    <t>Mezőgazdasági devizahitelek/teljes hitelállomány (%)</t>
  </si>
  <si>
    <t>Gazdasági szervezetek aránya (%)</t>
  </si>
  <si>
    <t>ÉLIP devizahitel aránya/ÉLIP összes (%)</t>
  </si>
  <si>
    <t>Forinthitelek/Mg. összes (%)</t>
  </si>
  <si>
    <t>Élelmiszeripari forinthitelek - összes (millió Ft)</t>
  </si>
  <si>
    <t>Élelmiszeripari devizahitelek - összes (millió Ft)</t>
  </si>
  <si>
    <t>Mg. forinthitelek növekedése/előző év (%)</t>
  </si>
  <si>
    <t>Élelmiszeripari forinthitelek/teljes hitelállomány (%)</t>
  </si>
  <si>
    <t>Élelmiszeripari devizahitelek/teljes hitelállomány (%)</t>
  </si>
  <si>
    <t>Mgi forinthitel aránya/agrár összes (%)</t>
  </si>
  <si>
    <t>Forinthitelek - ÉLIP</t>
  </si>
  <si>
    <t>ÉLIP forinthitelek/Mg. összes (%)</t>
  </si>
  <si>
    <t>Élip forinthitelek növekedése/előző év (%)</t>
  </si>
  <si>
    <t>Élip egyéni arány/Élip összes (%)</t>
  </si>
  <si>
    <t>Élip gazdasági arány/Élip összes (%)</t>
  </si>
  <si>
    <t>ÉLIP forinthitel aránya/agrár összes (%)</t>
  </si>
  <si>
    <t>Devizahitelek - Mezőgazdaság</t>
  </si>
  <si>
    <t>Devitahitelek - Mg.</t>
  </si>
  <si>
    <t>Devizahitelek/Mg. összes (%)</t>
  </si>
  <si>
    <t>Mg. devizahitelek növekedése/előző év (%)</t>
  </si>
  <si>
    <t>Mgi devizahitel aránya/agrár összes (%)</t>
  </si>
  <si>
    <t>Devizahitelek - ÉLIP</t>
  </si>
  <si>
    <t>Devizahitelek/ÉLIP összes (%)</t>
  </si>
  <si>
    <t>Élip devizahitelek növekedése/előző év (%)</t>
  </si>
  <si>
    <t>Élip egyéni arány/Mg. összes (%)</t>
  </si>
  <si>
    <t>Élip gazdasági arány/Mg. összes (%)</t>
  </si>
  <si>
    <t>ÉLIP devizahitel aránya/agrár összes (%)</t>
  </si>
  <si>
    <t>Forinthitelek - Mezőgazdaság és ÉLIP</t>
  </si>
  <si>
    <t>Összes forinthitel (millió Ft)</t>
  </si>
  <si>
    <t>Forinthitelek/teljes hitelállomány (%)</t>
  </si>
  <si>
    <t>Mezőgazdasági forinthitelek/összes forinthitel (%)</t>
  </si>
  <si>
    <t>Élelmiszeripari forinthitelek/összes forinthitel (%)</t>
  </si>
  <si>
    <t>Devizahitelek - Mezőgazdaság és ÉLIP</t>
  </si>
  <si>
    <t>Összes devizahitel (millió Ft)</t>
  </si>
  <si>
    <t>Devizahitelek/teljes hitelállomány (%)</t>
  </si>
  <si>
    <t>Mezőgazdasági devizahitelek/összes devizahitel (%)</t>
  </si>
  <si>
    <t>Élelmiszeripari devizahitelek/összes devizahitel (%)</t>
  </si>
  <si>
    <t>Deviza % - Mg</t>
  </si>
  <si>
    <t>Deviza</t>
  </si>
  <si>
    <t>Forint % - Mg</t>
  </si>
  <si>
    <t>Ft</t>
  </si>
  <si>
    <t xml:space="preserve"> </t>
  </si>
  <si>
    <t>Éven belüli hitelek - Forint folyószámla és egyéb éven belüli hitelek - Mezőgazdaság</t>
  </si>
  <si>
    <t xml:space="preserve">Éven belüli  Mgi. (forint folyó-, és egyéb éven belüli) hitelek </t>
  </si>
  <si>
    <t>Mg. éven belüli hitelek - összes (millió Ft)</t>
  </si>
  <si>
    <t>Mg. éven belüli hitelnövekedés/év (%)</t>
  </si>
  <si>
    <t>Éven belüli Mgi. (forint folyó-, és egyéb éven belüli) hitelek aránya/agrár összes (%)</t>
  </si>
  <si>
    <t>Éven belüli hitelek - Forint folyószámla és egyéb éven belüli hitelek - ÉLIP</t>
  </si>
  <si>
    <t xml:space="preserve">Éven belüli  ÉLIP (forint folyó-, és egyéb éven belüli) hitelek </t>
  </si>
  <si>
    <t>ÉLIP éven belüli hitelek - összes (millió Ft)</t>
  </si>
  <si>
    <t>ÉLIP éven belüli hitelnövekedés/év (%)</t>
  </si>
  <si>
    <t>Éven belüli ÉLIP (forint folyó-, és egyéb éven belüli) hitelek aránya/agrár összes (%)</t>
  </si>
  <si>
    <t>Éven belüli - Forint folyó-, és egyéb éven belüli hitelek ÉVES változása</t>
  </si>
  <si>
    <t>Éven belüli - Forint folyó-, és egyéb éven belüli hitelek NEGYEDÉVES változása</t>
  </si>
  <si>
    <t>Támogatott és piaci hitelek aránya</t>
  </si>
  <si>
    <r>
      <t xml:space="preserve">A mezőgazdaság támogatott
és piaci hiteleinek aránya
</t>
    </r>
    <r>
      <rPr>
        <b/>
        <sz val="16"/>
        <color theme="1"/>
        <rFont val="Calibri"/>
        <family val="2"/>
        <charset val="238"/>
        <scheme val="minor"/>
      </rPr>
      <t>2019</t>
    </r>
  </si>
  <si>
    <t xml:space="preserve">2019. I. </t>
  </si>
  <si>
    <t xml:space="preserve">2019. II. </t>
  </si>
  <si>
    <t>2019. III.</t>
  </si>
  <si>
    <t>Érték (millió forint)</t>
  </si>
  <si>
    <t>Részarány (százalék)</t>
  </si>
  <si>
    <t>Teljes hitel
állomány</t>
  </si>
  <si>
    <t>Támogatott hitel</t>
  </si>
  <si>
    <t xml:space="preserve">Piaci hitel </t>
  </si>
  <si>
    <t>Támogatott
hitel arány</t>
  </si>
  <si>
    <t>Piaci hitel
arány</t>
  </si>
  <si>
    <t>Támogatott hitel arány</t>
  </si>
  <si>
    <t>Egyéni gazdaságok</t>
  </si>
  <si>
    <t>Gazdasági szervezetek</t>
  </si>
  <si>
    <t>Mg. hitelek összesen</t>
  </si>
  <si>
    <r>
      <t xml:space="preserve">Az élelmiszeripar támogatott
és piaci hiteleinek aránya
</t>
    </r>
    <r>
      <rPr>
        <b/>
        <sz val="16"/>
        <color theme="1"/>
        <rFont val="Calibri"/>
        <family val="2"/>
        <charset val="238"/>
        <scheme val="minor"/>
      </rPr>
      <t>2019</t>
    </r>
  </si>
  <si>
    <t>Gazdasági szervezete</t>
  </si>
  <si>
    <t>Élip hitelek összesen</t>
  </si>
  <si>
    <t>Agrárgazdaság összesen</t>
  </si>
  <si>
    <r>
      <t xml:space="preserve">A mezőgazdaság támogatott
és piaci hiteleinek aránya
</t>
    </r>
    <r>
      <rPr>
        <b/>
        <sz val="16"/>
        <color theme="1"/>
        <rFont val="Calibri"/>
        <family val="2"/>
        <charset val="238"/>
        <scheme val="minor"/>
      </rPr>
      <t>2018</t>
    </r>
  </si>
  <si>
    <t xml:space="preserve">2018. I. </t>
  </si>
  <si>
    <t xml:space="preserve">2018. II. </t>
  </si>
  <si>
    <t>2018. III.</t>
  </si>
  <si>
    <t>2018. IV.</t>
  </si>
  <si>
    <r>
      <t xml:space="preserve">Az élelmiszeripar támogatott
és piaci hiteleinek aránya
</t>
    </r>
    <r>
      <rPr>
        <b/>
        <sz val="16"/>
        <color theme="1"/>
        <rFont val="Calibri"/>
        <family val="2"/>
        <charset val="238"/>
        <scheme val="minor"/>
      </rPr>
      <t>2018</t>
    </r>
  </si>
  <si>
    <r>
      <t xml:space="preserve">A mezőgazdaság támogatott
és piaci hiteleinek aránya
</t>
    </r>
    <r>
      <rPr>
        <b/>
        <sz val="18"/>
        <color theme="1"/>
        <rFont val="Calibri"/>
        <family val="2"/>
        <charset val="238"/>
        <scheme val="minor"/>
      </rPr>
      <t>2017</t>
    </r>
  </si>
  <si>
    <t xml:space="preserve">2017. I. </t>
  </si>
  <si>
    <t xml:space="preserve">2017. II. </t>
  </si>
  <si>
    <t>2017. III.</t>
  </si>
  <si>
    <t>2017. IV.</t>
  </si>
  <si>
    <r>
      <t xml:space="preserve">Az élelmiszeripar támogatott
és piaci hiteleinek aránya
</t>
    </r>
    <r>
      <rPr>
        <b/>
        <sz val="18"/>
        <color theme="1"/>
        <rFont val="Calibri"/>
        <family val="2"/>
        <charset val="238"/>
        <scheme val="minor"/>
      </rPr>
      <t>2017</t>
    </r>
  </si>
  <si>
    <r>
      <t xml:space="preserve">A mezőgazdaság támogatott
és piaci hiteleinek aránya
</t>
    </r>
    <r>
      <rPr>
        <b/>
        <sz val="18"/>
        <color theme="1"/>
        <rFont val="Calibri"/>
        <family val="2"/>
        <charset val="238"/>
        <scheme val="minor"/>
      </rPr>
      <t>2016</t>
    </r>
  </si>
  <si>
    <t xml:space="preserve">2016. II. </t>
  </si>
  <si>
    <t>2016. III.</t>
  </si>
  <si>
    <t>2016. IV.</t>
  </si>
  <si>
    <r>
      <t xml:space="preserve">Az élelmiszeripar támogatott
és piaci hiteleinek aránya
</t>
    </r>
    <r>
      <rPr>
        <b/>
        <sz val="18"/>
        <color theme="1"/>
        <rFont val="Calibri"/>
        <family val="2"/>
        <charset val="238"/>
        <scheme val="minor"/>
      </rPr>
      <t>2016</t>
    </r>
  </si>
  <si>
    <t>Forint-, és devizahitelek aránya</t>
  </si>
  <si>
    <r>
      <t xml:space="preserve">A mezőgazdaság forint-,
és devizahiteleinek aránya
</t>
    </r>
    <r>
      <rPr>
        <b/>
        <sz val="18"/>
        <color theme="1"/>
        <rFont val="Calibri"/>
        <family val="2"/>
        <charset val="238"/>
        <scheme val="minor"/>
      </rPr>
      <t>2019</t>
    </r>
  </si>
  <si>
    <t>Forinthitel</t>
  </si>
  <si>
    <t>Devizahitel</t>
  </si>
  <si>
    <t>Forinthitel
arány</t>
  </si>
  <si>
    <t>Devizahitel
arány</t>
  </si>
  <si>
    <t>Forinthitel arány</t>
  </si>
  <si>
    <r>
      <t xml:space="preserve">Az élelmiszeripar forint-,
és devizahiteleinek aránya
</t>
    </r>
    <r>
      <rPr>
        <b/>
        <sz val="18"/>
        <color theme="1"/>
        <rFont val="Calibri"/>
        <family val="2"/>
        <charset val="238"/>
        <scheme val="minor"/>
      </rPr>
      <t>2019</t>
    </r>
  </si>
  <si>
    <r>
      <t xml:space="preserve">A mezőgazdaság forint-,
és devizahiteleinek aránya
</t>
    </r>
    <r>
      <rPr>
        <b/>
        <sz val="18"/>
        <color theme="1"/>
        <rFont val="Calibri"/>
        <family val="2"/>
        <charset val="238"/>
        <scheme val="minor"/>
      </rPr>
      <t>2018</t>
    </r>
  </si>
  <si>
    <t>Ft
%pont</t>
  </si>
  <si>
    <t>Deviza
%pont</t>
  </si>
  <si>
    <r>
      <t xml:space="preserve">Az élelmiszeripar forint-,
és devizahiteleinek aránya
</t>
    </r>
    <r>
      <rPr>
        <b/>
        <sz val="18"/>
        <color theme="1"/>
        <rFont val="Calibri"/>
        <family val="2"/>
        <charset val="238"/>
        <scheme val="minor"/>
      </rPr>
      <t>2018</t>
    </r>
  </si>
  <si>
    <r>
      <t xml:space="preserve">A mezőgazdaság forint-,
és devizahiteleinek aránya
</t>
    </r>
    <r>
      <rPr>
        <b/>
        <sz val="18"/>
        <color theme="1"/>
        <rFont val="Calibri"/>
        <family val="2"/>
        <charset val="238"/>
        <scheme val="minor"/>
      </rPr>
      <t>2017</t>
    </r>
  </si>
  <si>
    <r>
      <t xml:space="preserve">Az élelmiszeripar forint-,
és devizahiteleinek aránya
</t>
    </r>
    <r>
      <rPr>
        <b/>
        <sz val="18"/>
        <color theme="1"/>
        <rFont val="Calibri"/>
        <family val="2"/>
        <charset val="238"/>
        <scheme val="minor"/>
      </rPr>
      <t>2017</t>
    </r>
  </si>
  <si>
    <t>2017-ben 24%-kal nőtt az ÉLIP deviahit</t>
  </si>
  <si>
    <r>
      <t xml:space="preserve">A mezőgazdaság forint-,
és devizahiteleinek aránya
</t>
    </r>
    <r>
      <rPr>
        <b/>
        <sz val="18"/>
        <color theme="1"/>
        <rFont val="Calibri"/>
        <family val="2"/>
        <charset val="238"/>
        <scheme val="minor"/>
      </rPr>
      <t>2016</t>
    </r>
  </si>
  <si>
    <r>
      <t xml:space="preserve">Az élelmiszeripar forint-,
és devizahiteleinek aránya
</t>
    </r>
    <r>
      <rPr>
        <b/>
        <sz val="18"/>
        <color theme="1"/>
        <rFont val="Calibri"/>
        <family val="2"/>
        <charset val="238"/>
        <scheme val="minor"/>
      </rPr>
      <t>2016</t>
    </r>
  </si>
  <si>
    <r>
      <t xml:space="preserve">A mezőgazdasági szakágazatok hiteleinek alakulása 
</t>
    </r>
    <r>
      <rPr>
        <b/>
        <sz val="18"/>
        <color theme="1"/>
        <rFont val="Calibri"/>
        <family val="2"/>
        <charset val="238"/>
        <scheme val="minor"/>
      </rPr>
      <t>2018</t>
    </r>
  </si>
  <si>
    <t>Szántóföldi növénytermesztől</t>
  </si>
  <si>
    <t>Állatttenyésztők, ebből:</t>
  </si>
  <si>
    <t xml:space="preserve">          - szarvasmarha tenyésztők</t>
  </si>
  <si>
    <t>Egyéb területen gazdálkodók</t>
  </si>
  <si>
    <t xml:space="preserve">Mgi új hitelek </t>
  </si>
  <si>
    <r>
      <rPr>
        <b/>
        <sz val="11"/>
        <color theme="1"/>
        <rFont val="Calibri"/>
        <family val="2"/>
        <charset val="238"/>
        <scheme val="minor"/>
      </rPr>
      <t>ÚJ</t>
    </r>
    <r>
      <rPr>
        <sz val="11"/>
        <color theme="1"/>
        <rFont val="Calibri"/>
        <family val="2"/>
        <charset val="238"/>
        <scheme val="minor"/>
      </rPr>
      <t xml:space="preserve"> </t>
    </r>
    <r>
      <rPr>
        <b/>
        <sz val="11"/>
        <color theme="1"/>
        <rFont val="Calibri"/>
        <family val="2"/>
        <charset val="238"/>
        <scheme val="minor"/>
      </rPr>
      <t>Beruházási hitelek - Mg</t>
    </r>
    <r>
      <rPr>
        <sz val="11"/>
        <color theme="1"/>
        <rFont val="Calibri"/>
        <family val="2"/>
        <charset val="238"/>
        <scheme val="minor"/>
      </rPr>
      <t xml:space="preserve"> </t>
    </r>
  </si>
  <si>
    <t xml:space="preserve"> Mezőgazdasági és élelmiszeripari új hitelek ÉVES változása negyedévenként</t>
  </si>
  <si>
    <t>Mgi új hitelek - éves változás</t>
  </si>
  <si>
    <t>Mg. Új beruházási hitelei - összes (millió Ft)</t>
  </si>
  <si>
    <t>ÚJ Beruházási hitelek/Mg. ÚJ összes (%)</t>
  </si>
  <si>
    <t>Élip új hitelek - éves változás</t>
  </si>
  <si>
    <t>Mg. ÚJ összes (millió Ft)</t>
  </si>
  <si>
    <t>Mg. ÚJ beruházási hitelnövekedés aránya/év (%)</t>
  </si>
  <si>
    <t>Mg egyéni arány/Mg. ÚJ összes (%)</t>
  </si>
  <si>
    <t>Éves szinten egyéni össz. Negyedévente</t>
  </si>
  <si>
    <t>Mg gazdasági arány/Mg. ÚJ összes (%)</t>
  </si>
  <si>
    <t>Agrárgazdaság ÚJ összesen (millió Ft)</t>
  </si>
  <si>
    <t>Éves viszonylatban folyósított össz.új hitel</t>
  </si>
  <si>
    <t>Mg. ÚJ beruházási hitel aránya/agrár ÚJ összes (%)</t>
  </si>
  <si>
    <t>Mezőgazdasági és élelmiszeripari új hitelek NEGYEDÉVENKÉNTI változása</t>
  </si>
  <si>
    <t xml:space="preserve">Élip új hitelek </t>
  </si>
  <si>
    <t>ÚJ Beruházási hitelek  - Élip</t>
  </si>
  <si>
    <t>Mgi új hitelek - negyedéves változás</t>
  </si>
  <si>
    <t>Élip új hitelek - negyedéves változás</t>
  </si>
  <si>
    <t>Élip ÚJ beruházási hitelei - összes (millió Ft)</t>
  </si>
  <si>
    <t>ÚJ Beruházási hitelek/ÉLIP ÚJ összes (%)</t>
  </si>
  <si>
    <t>Élip ÚJ összes (millió Ft)</t>
  </si>
  <si>
    <t>Élip ÚJ beruházási hitelnövekedés aránya/év (%)</t>
  </si>
  <si>
    <t>Új mezőgazdasági hitelek</t>
  </si>
  <si>
    <t>Élip ÚJ beruházási hitel aránya/agrár ÚJ összes (%)</t>
  </si>
  <si>
    <t>Beruházási hitelek</t>
  </si>
  <si>
    <t>Hosszú lejáratú
forgóeszköz hitelek</t>
  </si>
  <si>
    <t>Forint
folyószámla hitelek</t>
  </si>
  <si>
    <t>Egyéb éven belüli hitelek</t>
  </si>
  <si>
    <t>2016. IV. + 2017. I.-II-III.</t>
  </si>
  <si>
    <t>2017. IV. + 2018. I:-II.-III.</t>
  </si>
  <si>
    <t>Támogatott és piaci ÚJ hitelek aránya</t>
  </si>
  <si>
    <r>
      <t xml:space="preserve">A mezőgazdaság támogatott
és piaci ÚJ hiteleinek aránya
</t>
    </r>
    <r>
      <rPr>
        <b/>
        <sz val="16"/>
        <color theme="1"/>
        <rFont val="Calibri"/>
        <family val="2"/>
        <charset val="238"/>
        <scheme val="minor"/>
      </rPr>
      <t>2018</t>
    </r>
  </si>
  <si>
    <t>Éves szinten/Mg.összes (%)</t>
  </si>
  <si>
    <r>
      <t xml:space="preserve">Az élelmiszeripar támogatott
és piaci ÚJ hiteleinek aránya
</t>
    </r>
    <r>
      <rPr>
        <b/>
        <sz val="16"/>
        <color theme="1"/>
        <rFont val="Calibri"/>
        <family val="2"/>
        <charset val="238"/>
        <scheme val="minor"/>
      </rPr>
      <t>2018</t>
    </r>
  </si>
  <si>
    <r>
      <t xml:space="preserve">A mezőgazdaság támogatott
és piaci ÚJ hiteleinek aránya
</t>
    </r>
    <r>
      <rPr>
        <b/>
        <sz val="18"/>
        <color theme="1"/>
        <rFont val="Calibri"/>
        <family val="2"/>
        <charset val="238"/>
        <scheme val="minor"/>
      </rPr>
      <t>2017</t>
    </r>
  </si>
  <si>
    <r>
      <t xml:space="preserve">Az élelmiszeripar támogatott
és piaci ÚJ hiteleinek aránya
</t>
    </r>
    <r>
      <rPr>
        <b/>
        <sz val="18"/>
        <color theme="1"/>
        <rFont val="Calibri"/>
        <family val="2"/>
        <charset val="238"/>
        <scheme val="minor"/>
      </rPr>
      <t>2017</t>
    </r>
  </si>
  <si>
    <t>Új ÉLIPhitelek</t>
  </si>
  <si>
    <t>ÚJ - Beruházási hitelek Mg</t>
  </si>
  <si>
    <t>ÚJ - Beruházási hitelek ÉLIP</t>
  </si>
  <si>
    <t>Újonnan folyósított mezőgazdasági beruházási hitelek változása (%)</t>
  </si>
  <si>
    <t>ÚJ Beruházási hitelek</t>
  </si>
  <si>
    <t>Élip - új hitelek - hitelcél szerinti megoszlásban</t>
  </si>
  <si>
    <t>Beruházási hitelek - ÉLIP</t>
  </si>
  <si>
    <t>Élip új beruházási hitelei (milliárd Ft)</t>
  </si>
  <si>
    <t>Hosszú lejáratú forgóeszköz hitelek - ÉLIP</t>
  </si>
  <si>
    <t>Élip új hosszú lejáratú forgóeszköz hitelei (milliárd Ft)</t>
  </si>
  <si>
    <t>Éven belüli - Forint folyószámla és egyéb éven belüli hitelek - ÉLIP</t>
  </si>
  <si>
    <t>Élip új forint folyószámla-, és egyéb éven belüli hitelei (milliárd Ft)</t>
  </si>
  <si>
    <t>Élip új egyéb hitelei (milliárd Ft)</t>
  </si>
  <si>
    <t xml:space="preserve">ÚJ Beruházási hitelek - Mg </t>
  </si>
  <si>
    <t>Újonnan folyósított mezőgazdasági hosszú lejáratú forgóeszközhitelek változása (%)</t>
  </si>
  <si>
    <t>Újonnan folyósított élelemiszeripari hosszú lejáratú forgóeszközhitelek változása (%)</t>
  </si>
  <si>
    <t>2018 Q4 - Fennálló hitelállomány</t>
  </si>
  <si>
    <t>2018 Q4 - Újonnan folyósított hitelek</t>
  </si>
  <si>
    <t>Bank neve</t>
  </si>
  <si>
    <t>Mezőgazdasági hitelek</t>
  </si>
  <si>
    <t>Élelmiszeripari hitelek</t>
  </si>
  <si>
    <t>Sorrend</t>
  </si>
  <si>
    <t>Mg.
Összes</t>
  </si>
  <si>
    <t>Élip
összes</t>
  </si>
  <si>
    <t>BB Bank</t>
  </si>
  <si>
    <t>K&amp;H</t>
  </si>
  <si>
    <t>Takarékszövetkezetek</t>
  </si>
  <si>
    <t>CIB Bank</t>
  </si>
  <si>
    <t>OTP Nyrt. És JZB</t>
  </si>
  <si>
    <t>EXIM Bank Zrt.</t>
  </si>
  <si>
    <t>CITIbank</t>
  </si>
  <si>
    <t>UniCredit Bank Zrt.</t>
  </si>
  <si>
    <t>CITIBank</t>
  </si>
  <si>
    <t>-</t>
  </si>
  <si>
    <t>Cofidis</t>
  </si>
  <si>
    <t>MFB Zrt.</t>
  </si>
  <si>
    <t>Commerzbannk</t>
  </si>
  <si>
    <t>ERSTE Bank</t>
  </si>
  <si>
    <t>Raiffeisen Bank Zrt.</t>
  </si>
  <si>
    <t>Commerzbank</t>
  </si>
  <si>
    <t>DRB Bank Zrt.</t>
  </si>
  <si>
    <t>MKB Bank Zrt.</t>
  </si>
  <si>
    <t>DUNA Takarék</t>
  </si>
  <si>
    <t>FHB JZB</t>
  </si>
  <si>
    <t>FHB Zrt</t>
  </si>
  <si>
    <t>GRÁNIT Bank</t>
  </si>
  <si>
    <t>ING</t>
  </si>
  <si>
    <t>KDB Zrt.</t>
  </si>
  <si>
    <t>Takarékbank</t>
  </si>
  <si>
    <t>Merkantil Bank</t>
  </si>
  <si>
    <t>NHB Zrt.</t>
  </si>
  <si>
    <t>Oberbank</t>
  </si>
  <si>
    <t>Polgári Bank Zrt.</t>
  </si>
  <si>
    <t>Porsche Bank Zrt.</t>
  </si>
  <si>
    <t>Raiffeisen C. Lízing Zrt.</t>
  </si>
  <si>
    <t>Sberbank Zrt.</t>
  </si>
  <si>
    <t>SOPRON Bank Zrt.</t>
  </si>
  <si>
    <t>UniCredit JZB</t>
  </si>
  <si>
    <t>1-3 pénzintézet összes</t>
  </si>
  <si>
    <t>CR3</t>
  </si>
  <si>
    <t>1-5 pénzintézet összes</t>
  </si>
  <si>
    <t>CR5</t>
  </si>
  <si>
    <t>1-10 pénzintézet össz.</t>
  </si>
  <si>
    <t>CR10</t>
  </si>
  <si>
    <t>Agrárhitelek összesen</t>
  </si>
  <si>
    <t>Mezőgazdasági hitelek összesen</t>
  </si>
  <si>
    <t>Élelmiszeripari hitelek összesen</t>
  </si>
  <si>
    <t>CR3 (%)</t>
  </si>
  <si>
    <t>CR5 (%)</t>
  </si>
  <si>
    <t>CR10 (%)</t>
  </si>
  <si>
    <t>Bank</t>
  </si>
  <si>
    <t>Összes hitelállomány
2019. Q4
(millió forint)</t>
  </si>
  <si>
    <t>Mezőgazdasági hitelállomány
2019. Q4
(millió forint)</t>
  </si>
  <si>
    <t>Élelmiszeripari hitelállomány
2019. Q4
(millió forint)</t>
  </si>
  <si>
    <t>OTP Zrt. És JZB</t>
  </si>
  <si>
    <t>EXIM</t>
  </si>
  <si>
    <t>Unicredit Zrt.</t>
  </si>
  <si>
    <t>MFB</t>
  </si>
  <si>
    <t>Raiffeissen Bank</t>
  </si>
  <si>
    <t>Erste</t>
  </si>
  <si>
    <t>BB</t>
  </si>
  <si>
    <t>MKB</t>
  </si>
  <si>
    <t>CIB</t>
  </si>
  <si>
    <t>CITI</t>
  </si>
  <si>
    <t>Sberbank</t>
  </si>
  <si>
    <t>Polgári Bank</t>
  </si>
  <si>
    <t>Raiffeisen Corp.</t>
  </si>
  <si>
    <t>Gránit Bank</t>
  </si>
  <si>
    <t>BNP Paribas</t>
  </si>
  <si>
    <t>Dunatakarék</t>
  </si>
  <si>
    <t>Sopron Bank</t>
  </si>
  <si>
    <t>DRB</t>
  </si>
  <si>
    <t>KDB</t>
  </si>
  <si>
    <t>Deutsche Bank</t>
  </si>
  <si>
    <t>FHB Ker</t>
  </si>
  <si>
    <t>ING Bank</t>
  </si>
  <si>
    <t>MagNet  Bank</t>
  </si>
  <si>
    <t>Összesen:</t>
  </si>
  <si>
    <t>2017. Q3</t>
  </si>
  <si>
    <t>%</t>
  </si>
  <si>
    <t>Mezőgazdasági szakágazatok</t>
  </si>
  <si>
    <t>Szakág.megoszlás
2019. Q3
(%)</t>
  </si>
  <si>
    <t>2018. Q3
(millió HUF)</t>
  </si>
  <si>
    <t>2019. Q3
(millió HUF)</t>
  </si>
  <si>
    <t>2019 III. negyedévében a mezőgazdasági hitelek legnagyobb részét, több, mint a felét (55,3%) a szántóföldi növénytermesztés teszi ki. Ezt követi az állattenyésztés, illetve az egyebekbe sorolt szakágazatok 27,2 és 12,6%-kal. A kertészeti ágazat igen csekély mértékben veszi ki részét a hitelezésből, annak ellenére, hogy az ültetvények kialakításához nagy összegű beruházásokra van szükség. Ugyanakkor, ha a szakágazatok éves növekedését vizsgáljuk láthatjuk, hogy a legnagyobb mértékben a baromfi tenyésztés (28,58%), illetve az egyebek kategóriába sorolt szakágazatok (21,95%) növelték hitelállományukat, őket követi a szántóföldi növénytermesztés 20,67%-kal, ami valójában 25,8 százalékpontos növekmény, hiszen 2018-ban csökkent a hitelállomány az előző évhez képest. Az állattenyésztés összességében jól teljesített (18,56%), ezen belül nem csak a baromfi, hanem a szarvasmarha tenyésztés is ,ajdnem 18%-kal több forrást használt fel hitelekből (17,5%). A kertészet az éves növekedésben is az utolsó, mindössze 5,1%-kal növekedett hitelállománya az elmúlt év azonos időszakához viszonyítva.</t>
  </si>
  <si>
    <t>Élelmiszeripari szakágazatok</t>
  </si>
  <si>
    <t>2018as növ.</t>
  </si>
  <si>
    <t>2018as arány</t>
  </si>
  <si>
    <t>Szakág</t>
  </si>
  <si>
    <t>Részarány</t>
  </si>
  <si>
    <t>Az élelmiszeripar hitelállományából az egyéb élelmiszerek kategóriát nem tekintve (38,3%), a legnagyobb részesedéssel az egyéb gyümölcs-, zöldség feldolgozás, tartósítás szakágazat részesedik 12,54%-kal. Szorosan követi a baromfihús feldolgozás, tartósítás (9,54%), majd nem sokkal lemaradva a malomipari termékek (7,26%). Említett szakágazatok részesedéséhez képest kissé lemaradva, a középmezőnyt a haszonállat eledel gyártása vezeti (4,54%), amit az olajgyártás, tejtermék és tésztafélék gyártása, valamint a kenyér, friss pékárú gyártás alkot 4 és 2,64% közötti növekedéssel. Négy szakágazat pedig nem éri el a 2, illetve az 1 százalékos részesedést. A hitelállomány emelkedését tekintve már a második éve az olaj gyártása szakágazat mutat kiemelkedő növekedést (2018-ban 91%, 2019-ben 118,5%). Az ezt követő haszonállat eledel gyártás, valamint baromfihúsfeldolgozás nagyságrenddel kisebb mértékeben növelte hitelállományát (37,3% és 27,28%). Ezen kívül négy szakágazat produkált csökkenést, amely négy közül a legnagyobb mértékben a gyümölcs-, zöldséglé gyártás hitelállománya zuhant vissza 63%-kal.</t>
  </si>
  <si>
    <t>Növekedés</t>
  </si>
  <si>
    <t>Q3 2016</t>
  </si>
  <si>
    <t>Q1 2016</t>
  </si>
  <si>
    <t>Q2 2016</t>
  </si>
  <si>
    <t>Q4 2016</t>
  </si>
  <si>
    <t>Q1 2017</t>
  </si>
  <si>
    <t>Q2 2017</t>
  </si>
  <si>
    <t>Q3 2017</t>
  </si>
  <si>
    <t>Q4 2017</t>
  </si>
  <si>
    <t>Q1 2018</t>
  </si>
  <si>
    <t>Q2 2018</t>
  </si>
  <si>
    <t>Q3 2018</t>
  </si>
  <si>
    <t>Q4 2018</t>
  </si>
  <si>
    <t>Q1 2019</t>
  </si>
  <si>
    <t>Q2 2019</t>
  </si>
  <si>
    <t>Q3 2019</t>
  </si>
  <si>
    <t>Q4 2019</t>
  </si>
  <si>
    <t>Q1 2020</t>
  </si>
  <si>
    <t>Q2 2020</t>
  </si>
  <si>
    <t>Q3 2020</t>
  </si>
  <si>
    <t>Q4 2020</t>
  </si>
  <si>
    <t>Q1 2021</t>
  </si>
  <si>
    <t>Q2 2021</t>
  </si>
  <si>
    <t>Q3 2021</t>
  </si>
  <si>
    <t>Q4 2021</t>
  </si>
  <si>
    <t>Q1 2022*</t>
  </si>
  <si>
    <t>Q2 2022*</t>
  </si>
  <si>
    <t>Q3 2022*</t>
  </si>
  <si>
    <t>Q4 2022*</t>
  </si>
  <si>
    <t>Q1 2023*</t>
  </si>
  <si>
    <t>Q2 2023</t>
  </si>
  <si>
    <t>Agriculture total</t>
  </si>
  <si>
    <t>Food industry total</t>
  </si>
  <si>
    <t>MA - Economic organizations (billion HUF)</t>
  </si>
  <si>
    <t>CBH - Economic organizations (billion HUF)</t>
  </si>
  <si>
    <r>
      <t xml:space="preserve">Állattenyésztés, </t>
    </r>
    <r>
      <rPr>
        <i/>
        <sz val="11"/>
        <color rgb="FF000000"/>
        <rFont val="Times New Roman"/>
        <family val="1"/>
        <charset val="238"/>
      </rPr>
      <t>ebből:</t>
    </r>
  </si>
  <si>
    <r>
      <t xml:space="preserve">Kertészet, </t>
    </r>
    <r>
      <rPr>
        <i/>
        <sz val="11"/>
        <color rgb="FF000000"/>
        <rFont val="Times New Roman"/>
        <family val="1"/>
        <charset val="238"/>
      </rPr>
      <t>ebből</t>
    </r>
    <r>
      <rPr>
        <sz val="11"/>
        <color indexed="8"/>
        <rFont val="Times New Roman"/>
        <family val="1"/>
        <charset val="238"/>
      </rPr>
      <t>:</t>
    </r>
  </si>
  <si>
    <t>egyéb állattenyésztés</t>
  </si>
  <si>
    <t>baromfi, sertés, szarvasmarha</t>
  </si>
  <si>
    <t>nem zöldség kertészet</t>
  </si>
  <si>
    <t>2023. III.</t>
  </si>
  <si>
    <t>2023.III.</t>
  </si>
  <si>
    <t xml:space="preserve">2023. III. </t>
  </si>
  <si>
    <t>Q3 2023</t>
  </si>
  <si>
    <r>
      <t xml:space="preserve">Mg. </t>
    </r>
    <r>
      <rPr>
        <b/>
        <sz val="11"/>
        <color rgb="FFFF0000"/>
        <rFont val="Calibri"/>
        <family val="2"/>
        <charset val="238"/>
        <scheme val="minor"/>
      </rPr>
      <t>új</t>
    </r>
    <r>
      <rPr>
        <sz val="11"/>
        <color theme="1"/>
        <rFont val="Calibri"/>
        <family val="2"/>
        <charset val="238"/>
        <scheme val="minor"/>
      </rPr>
      <t xml:space="preserve"> beruházási hitelei (milliárd Ft)</t>
    </r>
  </si>
  <si>
    <r>
      <t xml:space="preserve">Mg. </t>
    </r>
    <r>
      <rPr>
        <b/>
        <sz val="11"/>
        <color rgb="FFFF0000"/>
        <rFont val="Calibri"/>
        <family val="2"/>
        <charset val="238"/>
        <scheme val="minor"/>
      </rPr>
      <t>új</t>
    </r>
    <r>
      <rPr>
        <sz val="11"/>
        <color theme="1"/>
        <rFont val="Calibri"/>
        <family val="2"/>
        <charset val="238"/>
        <scheme val="minor"/>
      </rPr>
      <t xml:space="preserve"> hosszú lejáratú forgóeszköz hitelei (milliárd Ft)</t>
    </r>
  </si>
  <si>
    <r>
      <t xml:space="preserve">Mg. </t>
    </r>
    <r>
      <rPr>
        <b/>
        <sz val="11"/>
        <color rgb="FFFF0000"/>
        <rFont val="Calibri"/>
        <family val="2"/>
        <charset val="238"/>
        <scheme val="minor"/>
      </rPr>
      <t>új</t>
    </r>
    <r>
      <rPr>
        <sz val="11"/>
        <color theme="1"/>
        <rFont val="Calibri"/>
        <family val="2"/>
        <charset val="238"/>
        <scheme val="minor"/>
      </rPr>
      <t xml:space="preserve"> forint folyószámla-, és egyéb éven belüli hitelei (milliárd Ft)</t>
    </r>
  </si>
  <si>
    <r>
      <t xml:space="preserve">Mg. </t>
    </r>
    <r>
      <rPr>
        <b/>
        <sz val="11"/>
        <color rgb="FFFF0000"/>
        <rFont val="Calibri"/>
        <family val="2"/>
        <charset val="238"/>
        <scheme val="minor"/>
      </rPr>
      <t>új</t>
    </r>
    <r>
      <rPr>
        <sz val="11"/>
        <color theme="1"/>
        <rFont val="Calibri"/>
        <family val="2"/>
        <charset val="238"/>
        <scheme val="minor"/>
      </rPr>
      <t xml:space="preserve"> egyéb hitelei (milliárd Ft)</t>
    </r>
  </si>
  <si>
    <r>
      <rPr>
        <b/>
        <sz val="11"/>
        <color rgb="FFFF0000"/>
        <rFont val="Calibri"/>
        <family val="2"/>
        <charset val="238"/>
        <scheme val="minor"/>
      </rPr>
      <t>Újonnan</t>
    </r>
    <r>
      <rPr>
        <sz val="11"/>
        <color theme="1"/>
        <rFont val="Calibri"/>
        <family val="2"/>
        <charset val="238"/>
        <scheme val="minor"/>
      </rPr>
      <t xml:space="preserve"> folyósított mezőgazdasági beruházási hitelek változása (%)</t>
    </r>
  </si>
  <si>
    <t>2023. IV.</t>
  </si>
  <si>
    <t>éves (%)</t>
  </si>
  <si>
    <t>negyedéves (%)</t>
  </si>
  <si>
    <t>Összes Ft %</t>
  </si>
  <si>
    <t>Összes deviza %</t>
  </si>
  <si>
    <t>Éves Ft %</t>
  </si>
  <si>
    <t>Éves deviza %</t>
  </si>
  <si>
    <t>Éves
változás
%</t>
  </si>
  <si>
    <t xml:space="preserve">Mg deviza </t>
  </si>
  <si>
    <t>Mg forint</t>
  </si>
  <si>
    <t>Élip forint</t>
  </si>
  <si>
    <t>Élip deviza</t>
  </si>
  <si>
    <t>2023. I.</t>
  </si>
  <si>
    <t xml:space="preserve">2023. IV. </t>
  </si>
  <si>
    <t>2024. I.</t>
  </si>
  <si>
    <t>Agrárgazdaság hitelállományának ÉVES változása (%)</t>
  </si>
  <si>
    <t>N.év (%)</t>
  </si>
  <si>
    <t>N.év MrD</t>
  </si>
  <si>
    <t>2024. I</t>
  </si>
  <si>
    <t>Összes Mg:</t>
  </si>
  <si>
    <t>negyedév (%)</t>
  </si>
  <si>
    <t>év (%)</t>
  </si>
  <si>
    <t>Negyedéves (Mrd)</t>
  </si>
  <si>
    <t>Éves (Mrd)</t>
  </si>
  <si>
    <t>2024.I.</t>
  </si>
  <si>
    <t>2023.IV.</t>
  </si>
  <si>
    <t>Mg Ft/deviza</t>
  </si>
  <si>
    <t>Élip Ft/deviza</t>
  </si>
  <si>
    <t>ÉLIP %</t>
  </si>
  <si>
    <t>Mg+Élip</t>
  </si>
  <si>
    <t>n.év</t>
  </si>
  <si>
    <t>n.év Mrd.</t>
  </si>
  <si>
    <t>év Mrd.</t>
  </si>
  <si>
    <t>Hitelcélok</t>
  </si>
  <si>
    <t>Ügyfélszám - Mezőgazdaság</t>
  </si>
  <si>
    <t>Beruházási hitelek (db)</t>
  </si>
  <si>
    <t>Hosszú lejáratú forgóeszköz hitelek (db)</t>
  </si>
  <si>
    <t>Forint folyószámla- és egyéb éven belüli hitelek (db)</t>
  </si>
  <si>
    <t>Egyéb hitelek (db)</t>
  </si>
  <si>
    <t>Ügyfélszám - Élelmiszeripar</t>
  </si>
  <si>
    <t>Ügyletszám - Élelmiszeripar</t>
  </si>
  <si>
    <t>Mg. beruházási hitelei (millió Ft)</t>
  </si>
  <si>
    <t>Mg. hosszú lejáratú forgóeszköz hitelei (millió Ft)</t>
  </si>
  <si>
    <t>Mg. forint folyószámla-, és egyéb éven belüli hitelei (millió Ft)</t>
  </si>
  <si>
    <t>Mg. egyéb hitelei (millió Ft)</t>
  </si>
  <si>
    <t>Ügyletszám - Mezőgazdaság</t>
  </si>
  <si>
    <t>Élip Beruházási hitelek (db)</t>
  </si>
  <si>
    <t>Élip Hosszú lejáratú forgóeszköz hitelek (db)</t>
  </si>
  <si>
    <t>Élip Forint folyószámla- és egyéb éven belüli hitelek (db)</t>
  </si>
  <si>
    <t>Élip Egyéb hitelek (db)</t>
  </si>
  <si>
    <t>Mg Beruházási hitelek (db)</t>
  </si>
  <si>
    <t>Mg Hosszú lejáratú forgóeszköz hitelek (db)</t>
  </si>
  <si>
    <t>Mg Forint folyószámla- és egyéb éven belüli hitelek (db)</t>
  </si>
  <si>
    <t>Mg Egyéb hitelek (db)</t>
  </si>
  <si>
    <t>Egyéni gazdaságok aránya (milliárd forint)</t>
  </si>
  <si>
    <t>Gazdasági szervezetek aránya (milliárd forint)</t>
  </si>
  <si>
    <t>Mgi hitel összes (milliárd forint)</t>
  </si>
  <si>
    <t>Élip hitel összes (milliárd forint)</t>
  </si>
  <si>
    <t>2024. II.</t>
  </si>
  <si>
    <t>Mg hitelnövekedés aránya/negyedév (%)</t>
  </si>
  <si>
    <t>Mg éves százalékpont</t>
  </si>
  <si>
    <t>Élip éves százalékpont</t>
  </si>
  <si>
    <t>év %</t>
  </si>
  <si>
    <t>A mezőgazdasági hitelállomány megoszlása gazdálkodási formák szerint (2023.I. - 2024.II.)</t>
  </si>
  <si>
    <t>Az agrárgazdaság hitelállományának megoszlása nemzetgazdasági ágazatok szerint (2023.I. - 2024.II.)</t>
  </si>
  <si>
    <t>n.év %</t>
  </si>
  <si>
    <t>n.év Mrd Ft</t>
  </si>
  <si>
    <t>év Mrd Ft</t>
  </si>
  <si>
    <t>Mezőgazdaság</t>
  </si>
  <si>
    <t>Élelmiszeripar</t>
  </si>
  <si>
    <t>Hosszú lej. forgóeszközhitelek</t>
  </si>
  <si>
    <t>Forint folyószámlahitelek</t>
  </si>
  <si>
    <t>Forinthitelek összesen</t>
  </si>
  <si>
    <t>Éven belüli hitelek</t>
  </si>
  <si>
    <t>Devizahitelek összesen</t>
  </si>
  <si>
    <t>2024. III.</t>
  </si>
  <si>
    <t>negyedéves %</t>
  </si>
  <si>
    <t>megoszlás</t>
  </si>
  <si>
    <t>negyedéves Mrd</t>
  </si>
  <si>
    <t>éves Mrd</t>
  </si>
  <si>
    <t>2024. IV.</t>
  </si>
  <si>
    <t>A mezőgazdasági hitelállomány hitelcél szerinti alakulása (2023.I. - 2024.IV.)</t>
  </si>
  <si>
    <t>Az élelmiszeripari hitelállomány gazdálkodási forma szerint (2023.I. - 2024.IV.)</t>
  </si>
  <si>
    <t>Az élelmiszeripari hitelállomány hitelcél szerinti alakulása (2023.I-2024.IV.)</t>
  </si>
  <si>
    <t>Az agrárgazdaság hitelállománya devizanemek szerinti alakulása (2023.I-2024.IV)</t>
  </si>
  <si>
    <r>
      <rPr>
        <b/>
        <sz val="11"/>
        <color rgb="FFFF0000"/>
        <rFont val="Calibri"/>
        <family val="2"/>
        <charset val="238"/>
        <scheme val="minor"/>
      </rPr>
      <t>ÚJ HITELEK</t>
    </r>
    <r>
      <rPr>
        <sz val="11"/>
        <color theme="1"/>
        <rFont val="Calibri"/>
        <family val="2"/>
        <charset val="238"/>
        <scheme val="minor"/>
      </rPr>
      <t xml:space="preserve"> A mezőgazdaság új hiteleinek hitelcél szerinti megoszlása (2023.I-2024.IV.)</t>
    </r>
  </si>
  <si>
    <r>
      <rPr>
        <b/>
        <sz val="11"/>
        <color rgb="FFFF0000"/>
        <rFont val="Calibri"/>
        <family val="2"/>
        <charset val="238"/>
        <scheme val="minor"/>
      </rPr>
      <t>ÚJ HITELEK</t>
    </r>
    <r>
      <rPr>
        <sz val="11"/>
        <color theme="1"/>
        <rFont val="Calibri"/>
        <family val="2"/>
        <charset val="238"/>
        <scheme val="minor"/>
      </rPr>
      <t xml:space="preserve"> Az élelmiszeripar új hitelei hitelcél szerinti megoszlása (2023.I-2024.IV.)</t>
    </r>
  </si>
  <si>
    <t>egyéni</t>
  </si>
  <si>
    <t>társas</t>
  </si>
  <si>
    <t>egyéni %</t>
  </si>
  <si>
    <t>társas%</t>
  </si>
  <si>
    <t>A devizahitelek aránya a mezőgazdasági hitelállományon belül (%)</t>
  </si>
  <si>
    <t>A devizahitelek aránya az élelmiszeripari hitelállományon belül (%)</t>
  </si>
  <si>
    <t>Állományi hitelek (millió Ft)
Egyéni gazdaságok 2025.I. negyedév</t>
  </si>
  <si>
    <t>FORINTHITELEK (millió Ft)</t>
  </si>
  <si>
    <t>DEVIZAHITELEK (millió Ft)</t>
  </si>
  <si>
    <t>TELJES HITELÁLLOMÁNY (millió Ft)</t>
  </si>
  <si>
    <t xml:space="preserve"> Beruházási hitelek</t>
  </si>
  <si>
    <t>Ebből:
Hosszú lej. forgóeszközhitelekből tám. előfinanszirozás</t>
  </si>
  <si>
    <t>Egyéb éven belüli forinthitelek</t>
  </si>
  <si>
    <t>Ebből:
Egyéb éven belüli forinthitelekből tám. előfinanszirozás</t>
  </si>
  <si>
    <t>Egyéb hitelek összesen</t>
  </si>
  <si>
    <t>FORINTHITELEK
összesen</t>
  </si>
  <si>
    <t>DEVIZAHITELEK
összesen</t>
  </si>
  <si>
    <t>Teljes hitelállományból piaci hitel</t>
  </si>
  <si>
    <t>Teljes hitelállományból Mikrovállalkozás</t>
  </si>
  <si>
    <t>Teljes hitelállományból Kisvállalkozás</t>
  </si>
  <si>
    <t>Teljes hitelállományból Középvállalkozás</t>
  </si>
  <si>
    <t>Teljes hitelállományból KKV összesen</t>
  </si>
  <si>
    <t>*</t>
  </si>
  <si>
    <t>0111 Gabonaféle (kivéve: rizs), hüvelyes növény, olajos mag termesztése</t>
  </si>
  <si>
    <t>0112 Rizstermesztés</t>
  </si>
  <si>
    <t>0114 Cukornádtermesztés</t>
  </si>
  <si>
    <t>0115 Dohánytermesztés</t>
  </si>
  <si>
    <t>0116 Rostnövénytermesztés</t>
  </si>
  <si>
    <t>0119 Egyéb, nem évelő növény termesztése</t>
  </si>
  <si>
    <t>Állattenyésztés</t>
  </si>
  <si>
    <t>0141 Tejhasznú szarvasmarha tenyésztése</t>
  </si>
  <si>
    <t>0142 Egyéb szarvasmarha tenyésztése</t>
  </si>
  <si>
    <t>0143 Ló, lóféle tenyésztése</t>
  </si>
  <si>
    <t>0144 Teve, teveféle tenyésztése</t>
  </si>
  <si>
    <t>0145 Juh, kecske tenyésztése</t>
  </si>
  <si>
    <t>0146 Sertéstenyésztés</t>
  </si>
  <si>
    <t>0147 Baromfitenyésztés</t>
  </si>
  <si>
    <t>0148 Egyéb állat tenyésztése</t>
  </si>
  <si>
    <t>0312 Édesvízi halászat</t>
  </si>
  <si>
    <t>0321 Tengeri akvakultúra</t>
  </si>
  <si>
    <t>0322 Édesvízi akvakultúra</t>
  </si>
  <si>
    <t>0330 Halászati és akvakultúra-szolgáltatás</t>
  </si>
  <si>
    <t>0113 Zöldségféle, dinnye, gyökér-, gumósnövény termesztése</t>
  </si>
  <si>
    <t>0121 Szőlőtermesztés</t>
  </si>
  <si>
    <t>0122 Trópusi gyümölcs termesztése</t>
  </si>
  <si>
    <t>0123 Citrusféle termesztése</t>
  </si>
  <si>
    <t>0124 Almatermésű és csonthéjas gyümölcs termesztése</t>
  </si>
  <si>
    <t>0125 Egyéb fán és bokron termő gyümölcs, héjas termésű gyümölcs termesztése</t>
  </si>
  <si>
    <t>0126 Olajtartalmú gyümölcs termesztése</t>
  </si>
  <si>
    <t>0127 Italgyártáshoz szükséges növény termesztése</t>
  </si>
  <si>
    <t>0128 Fűszer-, aroma-, gyógynövény termesztése</t>
  </si>
  <si>
    <t>0129 Egyéb évelő növény termesztése</t>
  </si>
  <si>
    <t>0130 Növényi szaporítóanyag termesztése</t>
  </si>
  <si>
    <t>0150 Vegyes gazdálkodás</t>
  </si>
  <si>
    <t>0161 Növénytermesztési szolgáltatás</t>
  </si>
  <si>
    <t>0162 Állattenyésztési szolgáltatás</t>
  </si>
  <si>
    <t>0163 Betakarítást követő szolgáltatás és vetési célú magfeldolgozás</t>
  </si>
  <si>
    <t>0170 Vadgazdálkodás, vadgazdálkodási szolgáltatás</t>
  </si>
  <si>
    <t>0210 Erdészeti, egyéb erdőgazdálkodási tevékenység</t>
  </si>
  <si>
    <t>0220 Fakitermelés</t>
  </si>
  <si>
    <t>0230 Vadon termő erdei termény gyűjtése</t>
  </si>
  <si>
    <t>0240 Erdészeti szolgáltatás</t>
  </si>
  <si>
    <t>Élelmiszeripari főtevékenység</t>
  </si>
  <si>
    <t>Nem besorolható</t>
  </si>
  <si>
    <t>1011 Húsfeldolgozás, -tartósítás, kivéve baromfi</t>
  </si>
  <si>
    <t>1012 Baromfihús feldolgozása, tartósítása</t>
  </si>
  <si>
    <t>1013 Hús-, baromfihús-készítmény gyártása</t>
  </si>
  <si>
    <t>1032 Gyümölcs-, zöldséglé gyártása</t>
  </si>
  <si>
    <t>1039 Egyéb gyümölcs-, zöldségfeldolgozás, -tartósítás</t>
  </si>
  <si>
    <t>1041 Olaj gyártása</t>
  </si>
  <si>
    <t>1042 Margarin gyártása</t>
  </si>
  <si>
    <t>1051 Tejfeldolgozás</t>
  </si>
  <si>
    <t>1061 Malomipari termék gyártása</t>
  </si>
  <si>
    <t>1071 Kenyér; friss pékáru gyártása</t>
  </si>
  <si>
    <t>1072 Tartósított lisztes áru gyártása</t>
  </si>
  <si>
    <t>1073 Tésztafélék gyártása</t>
  </si>
  <si>
    <t>1091 Haszonállat-eledel gyártása</t>
  </si>
  <si>
    <t>1092 Hobbiállat-eledel gyártása</t>
  </si>
  <si>
    <t>1102 Szőlőbor termelése</t>
  </si>
  <si>
    <t>1020 Hal, rákféle és puhatestű feldolgozása, tartósítása</t>
  </si>
  <si>
    <t>1031 Burgonyafeldolgozás, -tartósítás</t>
  </si>
  <si>
    <t>1052 Fagylalt, jégkrém gyártása</t>
  </si>
  <si>
    <t>1062 Keményítő, keményítőtermék gyártása</t>
  </si>
  <si>
    <t>1081 Cukorgyártás</t>
  </si>
  <si>
    <t>1082 Édesség gyártása</t>
  </si>
  <si>
    <t>1083 Tea, kávé feldolgozása</t>
  </si>
  <si>
    <t>1084 Fűszer, ételízesítő gyártása</t>
  </si>
  <si>
    <t>1085 Készétel gyártása</t>
  </si>
  <si>
    <t>1086 Homogenizált, diétás étel gyártása</t>
  </si>
  <si>
    <t>1089 M.n.s. egyéb élelmiszer gyártása</t>
  </si>
  <si>
    <t>1101 Desztillált szeszes ital gyártása</t>
  </si>
  <si>
    <t>1103 Almabor és egyéb erjesztett gyümölcsitalok gyártása</t>
  </si>
  <si>
    <t>1104 Egyéb nem desztillált, erjesztett ital gyártása</t>
  </si>
  <si>
    <t>1105 Sörgyártás</t>
  </si>
  <si>
    <t>1106 Malátagyártás</t>
  </si>
  <si>
    <t>1107 Üdítőital, ásványvíz gyártása</t>
  </si>
  <si>
    <t>1200 Dohánytermék gyártása</t>
  </si>
  <si>
    <t>Mezőgazdaság és élelmiszeripar összesen</t>
  </si>
  <si>
    <t>Egyéni gazdaságok 2025. I. negyedév</t>
  </si>
  <si>
    <t>Mezőgazdaság, Őstermelők</t>
  </si>
  <si>
    <t>Mezőgazdaság, Egyéni vállalkozások</t>
  </si>
  <si>
    <t>Mezőgazdaság, Egyéb</t>
  </si>
  <si>
    <t>Gazdasági szervezetek 2025. I. negyedév</t>
  </si>
  <si>
    <t>Gazdasági szervezetek 2025 I. negyedév</t>
  </si>
  <si>
    <t>Mezőgazdaság, Korlátolt felelősségű társaság</t>
  </si>
  <si>
    <t>Mezőgazdaság, Közkereseti társaság</t>
  </si>
  <si>
    <t>Mezőgazdaság, Részvénytársaság</t>
  </si>
  <si>
    <t>Mezőgazdaság, Betéti társaság</t>
  </si>
  <si>
    <t>Mezőgazdaság, Szövetkezet</t>
  </si>
  <si>
    <t>Élelmiszeripar, Korlátolt felelősségű társaság</t>
  </si>
  <si>
    <t>Élelmiszeripar, Közkereseti társaság</t>
  </si>
  <si>
    <t>Élelmiszeripar, Részvénytársaság</t>
  </si>
  <si>
    <t>Élelmiszeripar, Betéti társaság</t>
  </si>
  <si>
    <t>Élelmiszeripar, Szövetkezet</t>
  </si>
  <si>
    <t>Élelmiszeripar, Egyéb</t>
  </si>
  <si>
    <t>Új Hitelek (millió Ft)
Egyéni gazdaságok 2025. I. negyedév</t>
  </si>
  <si>
    <t xml:space="preserve">2025. I. </t>
  </si>
  <si>
    <t xml:space="preserve">2025. II. </t>
  </si>
  <si>
    <t>2025. I.</t>
  </si>
  <si>
    <t>2025. II.</t>
  </si>
  <si>
    <t>Összes deviza</t>
  </si>
  <si>
    <t>Az agrárgazdaság forint hitelállományának kamatlábai 2025. I. negyedévben (%)</t>
  </si>
  <si>
    <t>Állományi kamatlábak (%)
2025. I. negyedév</t>
  </si>
  <si>
    <t>FORINTHITELEK Beruházási hitelek</t>
  </si>
  <si>
    <t>FORINTHITELEK Hosszú lej. forgóeszközhitelek</t>
  </si>
  <si>
    <t>FORINTHITELEK Forint folyószámlahitelek</t>
  </si>
  <si>
    <t>FORINTHITELEK Egyéb éven belüli forinthitelek</t>
  </si>
  <si>
    <t>Egyéb FORINTHITELEK összesen</t>
  </si>
  <si>
    <t>FORINTHITELEK összesen</t>
  </si>
  <si>
    <t>DEVIZAHITELEK Beruházási hitelek</t>
  </si>
  <si>
    <t>DEVIZAHITELEK Hosszú lej. forgóeszközhitelek</t>
  </si>
  <si>
    <t>Éven belüli DEVIZAHITELEK</t>
  </si>
  <si>
    <t>Egyéb DEVIZAHITELEK összesen</t>
  </si>
  <si>
    <t>DEVIZAHITELEK összesen</t>
  </si>
  <si>
    <t>Új hitelek kamatlába (%)
2025. I. negyedév</t>
  </si>
  <si>
    <t>0149 Egyéb állat tenyésztése</t>
  </si>
  <si>
    <t>0321 Tengerihal-gazdálkodás</t>
  </si>
  <si>
    <t>0322 Édesvízihal-gazdálkodás</t>
  </si>
  <si>
    <t>0124 Almatermésű, csonthéjas termesztése</t>
  </si>
  <si>
    <t>0125 Egyéb gyümölcs, héjastermésű termesztése</t>
  </si>
  <si>
    <t>0127 Italgyártási növény termesztése</t>
  </si>
  <si>
    <t>0128 Fűszer-, aroma-, narkotikus, gyógynövény termesztése</t>
  </si>
  <si>
    <t>0163 Betakarítást követő szolgáltatás</t>
  </si>
  <si>
    <t>0164 Vetési célú magfeldolgozás</t>
  </si>
  <si>
    <t>0230 Vadon termő egyéb erdei termék gyűjtése</t>
  </si>
  <si>
    <t>1011 Húsfeldolgozás, -tartósítás</t>
  </si>
  <si>
    <t>1051 Tejtermék gyártása</t>
  </si>
  <si>
    <t>1020 Halfeldolgozás, -tartósítás</t>
  </si>
  <si>
    <t>1052 Jégkrém gyártása</t>
  </si>
  <si>
    <t>1103 Gyümölcsbor termelése</t>
  </si>
  <si>
    <t>n év %</t>
  </si>
  <si>
    <t>Állományi hitelek - ügyfélszám (db)
Egyéni gazdaságok 2025. I. negyedév</t>
  </si>
  <si>
    <t>FORINTHITELEK (db)</t>
  </si>
  <si>
    <t>DEVIZAHITELEK (db)</t>
  </si>
  <si>
    <t>TELJES HITELÁLLOMÁNY (db)</t>
  </si>
  <si>
    <t>Új Hitelek - ügyfélszám (db)
Egyéni gazdaságok 2025. I. negyedév</t>
  </si>
  <si>
    <t>2,5%)</t>
  </si>
  <si>
    <t>Egyéni (db)</t>
  </si>
  <si>
    <t>Társas (db)</t>
  </si>
  <si>
    <t>Az agrárgazdaság deviza hitelállományának kamatlábai 2025. I. negyedévben (%)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</si>
</sst>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9">
    <numFmt numFmtId="43" formatCode="_-* #,##0.00\ _F_t_-;\-* #,##0.00\ _F_t_-;_-* &quot;-&quot;??\ _F_t_-;_-@_-"/>
    <numFmt numFmtId="164" formatCode="0.0"/>
    <numFmt numFmtId="165" formatCode="#,##0.0"/>
    <numFmt numFmtId="166" formatCode="_-* #,##0\ _F_t_-;\-* #,##0\ _F_t_-;_-* &quot;-&quot;??\ _F_t_-;_-@_-"/>
    <numFmt numFmtId="167" formatCode="_-* #,##0.0\ _F_t_-;\-* #,##0.0\ _F_t_-;_-* &quot;-&quot;??\ _F_t_-;_-@_-"/>
    <numFmt numFmtId="168" formatCode="0.000"/>
    <numFmt numFmtId="169" formatCode="#,##0_ ;\-#,##0\ "/>
    <numFmt numFmtId="170" formatCode="0.0%"/>
    <numFmt numFmtId="171" formatCode="###\ ###\ ###\ ##0"/>
  </numFmts>
  <fonts count="41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0"/>
      <color indexed="64"/>
      <name val="Arial"/>
      <family val="2"/>
      <charset val="238"/>
    </font>
    <font>
      <sz val="11"/>
      <name val="Calibri"/>
      <family val="2"/>
      <charset val="238"/>
      <scheme val="minor"/>
    </font>
    <font>
      <sz val="11"/>
      <color indexed="8"/>
      <name val="Calibri"/>
      <family val="2"/>
      <scheme val="minor"/>
    </font>
    <font>
      <b/>
      <sz val="11"/>
      <color theme="6" tint="-0.499984740745262"/>
      <name val="Calibri"/>
      <family val="2"/>
      <charset val="238"/>
      <scheme val="minor"/>
    </font>
    <font>
      <b/>
      <sz val="11"/>
      <color theme="9" tint="-0.249977111117893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11"/>
      <color indexed="8"/>
      <name val="Times New Roman"/>
      <family val="1"/>
      <charset val="238"/>
    </font>
    <font>
      <b/>
      <i/>
      <sz val="11"/>
      <color rgb="FF000000"/>
      <name val="Times New Roman"/>
      <family val="1"/>
      <charset val="238"/>
    </font>
    <font>
      <b/>
      <sz val="11"/>
      <color rgb="FF0070C0"/>
      <name val="Times New Roman"/>
      <family val="1"/>
      <charset val="238"/>
    </font>
    <font>
      <b/>
      <sz val="9"/>
      <color indexed="81"/>
      <name val="Tahoma"/>
      <family val="2"/>
      <charset val="238"/>
    </font>
    <font>
      <sz val="9"/>
      <color indexed="81"/>
      <name val="Tahoma"/>
      <family val="2"/>
      <charset val="238"/>
    </font>
    <font>
      <sz val="12"/>
      <color indexed="8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b/>
      <sz val="11"/>
      <color theme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rgb="FFFF0000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sz val="10"/>
      <color theme="1"/>
      <name val="Calibri"/>
      <family val="2"/>
      <charset val="238"/>
    </font>
    <font>
      <b/>
      <sz val="11"/>
      <color rgb="FF00B050"/>
      <name val="Calibri"/>
      <family val="2"/>
      <charset val="238"/>
      <scheme val="minor"/>
    </font>
    <font>
      <b/>
      <sz val="11"/>
      <color theme="6" tint="-0.249977111117893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b/>
      <sz val="11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b/>
      <sz val="14"/>
      <color theme="1"/>
      <name val="Calibri"/>
      <family val="2"/>
      <charset val="238"/>
      <scheme val="minor"/>
    </font>
    <font>
      <sz val="14"/>
      <color indexed="8"/>
      <name val="Times New Roman"/>
      <family val="1"/>
      <charset val="238"/>
    </font>
    <font>
      <sz val="14"/>
      <color rgb="FF0070C0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1"/>
      <color rgb="FF0070C0"/>
      <name val="Times New Roman"/>
      <family val="1"/>
      <charset val="238"/>
    </font>
    <font>
      <sz val="11"/>
      <name val="Calibri"/>
      <family val="2"/>
      <charset val="238"/>
    </font>
    <font>
      <b/>
      <sz val="14"/>
      <color theme="1"/>
      <name val="Times New Roman"/>
      <family val="1"/>
      <charset val="238"/>
    </font>
    <font>
      <b/>
      <sz val="18"/>
      <color theme="1"/>
      <name val="Calibri"/>
      <family val="2"/>
      <charset val="238"/>
      <scheme val="minor"/>
    </font>
    <font>
      <b/>
      <sz val="12"/>
      <color theme="1"/>
      <name val="Times New Roman"/>
      <family val="1"/>
      <charset val="238"/>
    </font>
    <font>
      <i/>
      <sz val="11"/>
      <color rgb="FF000000"/>
      <name val="Times New Roman"/>
      <family val="1"/>
      <charset val="238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2"/>
      <color theme="1"/>
      <name val="Calibri"/>
      <family val="2"/>
      <charset val="238"/>
      <scheme val="minor"/>
    </font>
  </fonts>
  <fills count="39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61D6FF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indexed="9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CCFF66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DDD9C4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rgb="FFF9E2B5"/>
        <bgColor indexed="64"/>
      </patternFill>
    </fill>
    <fill>
      <patternFill patternType="solid">
        <fgColor rgb="FFFBC057"/>
        <bgColor indexed="64"/>
      </patternFill>
    </fill>
    <fill>
      <patternFill patternType="solid">
        <fgColor rgb="FFFDE9D9"/>
        <bgColor indexed="64"/>
      </patternFill>
    </fill>
    <fill>
      <patternFill patternType="solid">
        <fgColor rgb="FFDAEEF3"/>
        <bgColor indexed="64"/>
      </patternFill>
    </fill>
    <fill>
      <patternFill patternType="solid">
        <fgColor rgb="FFDCE6F1"/>
        <bgColor indexed="64"/>
      </patternFill>
    </fill>
    <fill>
      <patternFill patternType="solid">
        <fgColor rgb="FFF2DCDB"/>
        <bgColor indexed="64"/>
      </patternFill>
    </fill>
    <fill>
      <patternFill patternType="solid">
        <fgColor rgb="FFE4DFEC"/>
        <bgColor indexed="64"/>
      </patternFill>
    </fill>
    <fill>
      <patternFill patternType="solid">
        <fgColor rgb="FFFCD5B4"/>
        <bgColor indexed="64"/>
      </patternFill>
    </fill>
  </fills>
  <borders count="13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auto="1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/>
      <top style="medium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64"/>
      </right>
      <top style="thin">
        <color indexed="8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ck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</borders>
  <cellStyleXfs count="16">
    <xf numFmtId="0" fontId="0" fillId="0" borderId="0"/>
    <xf numFmtId="0" fontId="3" fillId="0" borderId="0"/>
    <xf numFmtId="0" fontId="3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5" fillId="0" borderId="0"/>
    <xf numFmtId="43" fontId="1" fillId="0" borderId="0" applyFont="0" applyFill="0" applyBorder="0" applyAlignment="0" applyProtection="0"/>
    <xf numFmtId="0" fontId="37" fillId="0" borderId="0"/>
  </cellStyleXfs>
  <cellXfs count="1224">
    <xf numFmtId="0" fontId="0" fillId="0" borderId="0" xfId="0"/>
    <xf numFmtId="3" fontId="0" fillId="0" borderId="0" xfId="0" applyNumberFormat="1"/>
    <xf numFmtId="164" fontId="0" fillId="0" borderId="0" xfId="0" applyNumberFormat="1"/>
    <xf numFmtId="0" fontId="0" fillId="4" borderId="13" xfId="0" applyFill="1" applyBorder="1" applyAlignment="1">
      <alignment horizontal="center"/>
    </xf>
    <xf numFmtId="3" fontId="0" fillId="0" borderId="4" xfId="0" applyNumberFormat="1" applyBorder="1"/>
    <xf numFmtId="3" fontId="0" fillId="0" borderId="1" xfId="0" applyNumberFormat="1" applyBorder="1"/>
    <xf numFmtId="0" fontId="0" fillId="4" borderId="39" xfId="0" applyFill="1" applyBorder="1" applyAlignment="1">
      <alignment horizontal="center"/>
    </xf>
    <xf numFmtId="0" fontId="0" fillId="4" borderId="36" xfId="0" applyFill="1" applyBorder="1" applyAlignment="1">
      <alignment horizontal="center"/>
    </xf>
    <xf numFmtId="0" fontId="0" fillId="8" borderId="7" xfId="0" applyFill="1" applyBorder="1"/>
    <xf numFmtId="4" fontId="2" fillId="8" borderId="8" xfId="0" applyNumberFormat="1" applyFont="1" applyFill="1" applyBorder="1"/>
    <xf numFmtId="4" fontId="2" fillId="8" borderId="24" xfId="0" applyNumberFormat="1" applyFont="1" applyFill="1" applyBorder="1"/>
    <xf numFmtId="2" fontId="2" fillId="8" borderId="5" xfId="0" applyNumberFormat="1" applyFont="1" applyFill="1" applyBorder="1"/>
    <xf numFmtId="0" fontId="0" fillId="6" borderId="14" xfId="0" applyFill="1" applyBorder="1"/>
    <xf numFmtId="2" fontId="0" fillId="0" borderId="4" xfId="0" applyNumberFormat="1" applyBorder="1"/>
    <xf numFmtId="2" fontId="0" fillId="0" borderId="1" xfId="0" applyNumberFormat="1" applyBorder="1"/>
    <xf numFmtId="2" fontId="0" fillId="3" borderId="10" xfId="0" applyNumberFormat="1" applyFill="1" applyBorder="1"/>
    <xf numFmtId="3" fontId="0" fillId="0" borderId="3" xfId="0" applyNumberFormat="1" applyBorder="1"/>
    <xf numFmtId="3" fontId="0" fillId="7" borderId="3" xfId="0" applyNumberFormat="1" applyFill="1" applyBorder="1"/>
    <xf numFmtId="2" fontId="2" fillId="8" borderId="30" xfId="0" applyNumberFormat="1" applyFont="1" applyFill="1" applyBorder="1"/>
    <xf numFmtId="0" fontId="0" fillId="5" borderId="10" xfId="0" applyFill="1" applyBorder="1"/>
    <xf numFmtId="0" fontId="0" fillId="7" borderId="10" xfId="0" applyFill="1" applyBorder="1"/>
    <xf numFmtId="0" fontId="0" fillId="6" borderId="10" xfId="0" applyFill="1" applyBorder="1"/>
    <xf numFmtId="0" fontId="0" fillId="8" borderId="11" xfId="0" applyFill="1" applyBorder="1"/>
    <xf numFmtId="0" fontId="0" fillId="5" borderId="12" xfId="0" applyFill="1" applyBorder="1"/>
    <xf numFmtId="0" fontId="0" fillId="3" borderId="35" xfId="0" applyFill="1" applyBorder="1"/>
    <xf numFmtId="0" fontId="0" fillId="3" borderId="10" xfId="0" applyFill="1" applyBorder="1"/>
    <xf numFmtId="0" fontId="0" fillId="7" borderId="37" xfId="0" applyFill="1" applyBorder="1"/>
    <xf numFmtId="2" fontId="0" fillId="0" borderId="0" xfId="0" applyNumberFormat="1"/>
    <xf numFmtId="3" fontId="0" fillId="0" borderId="2" xfId="0" applyNumberFormat="1" applyBorder="1"/>
    <xf numFmtId="2" fontId="0" fillId="0" borderId="2" xfId="0" applyNumberFormat="1" applyBorder="1"/>
    <xf numFmtId="3" fontId="0" fillId="7" borderId="4" xfId="0" applyNumberFormat="1" applyFill="1" applyBorder="1"/>
    <xf numFmtId="0" fontId="0" fillId="4" borderId="31" xfId="0" applyFill="1" applyBorder="1" applyAlignment="1">
      <alignment horizontal="center"/>
    </xf>
    <xf numFmtId="4" fontId="0" fillId="0" borderId="0" xfId="0" applyNumberFormat="1"/>
    <xf numFmtId="0" fontId="0" fillId="6" borderId="13" xfId="0" applyFill="1" applyBorder="1" applyAlignment="1">
      <alignment horizontal="center"/>
    </xf>
    <xf numFmtId="0" fontId="0" fillId="4" borderId="8" xfId="0" applyFill="1" applyBorder="1" applyAlignment="1">
      <alignment horizontal="center"/>
    </xf>
    <xf numFmtId="0" fontId="0" fillId="4" borderId="24" xfId="0" applyFill="1" applyBorder="1" applyAlignment="1">
      <alignment horizontal="center"/>
    </xf>
    <xf numFmtId="0" fontId="0" fillId="4" borderId="25" xfId="0" applyFill="1" applyBorder="1" applyAlignment="1">
      <alignment horizontal="center"/>
    </xf>
    <xf numFmtId="0" fontId="0" fillId="6" borderId="13" xfId="0" applyFill="1" applyBorder="1" applyAlignment="1">
      <alignment horizontal="left"/>
    </xf>
    <xf numFmtId="0" fontId="0" fillId="7" borderId="13" xfId="0" applyFill="1" applyBorder="1" applyAlignment="1">
      <alignment horizontal="left"/>
    </xf>
    <xf numFmtId="3" fontId="0" fillId="11" borderId="1" xfId="0" applyNumberFormat="1" applyFill="1" applyBorder="1"/>
    <xf numFmtId="2" fontId="2" fillId="6" borderId="5" xfId="0" applyNumberFormat="1" applyFont="1" applyFill="1" applyBorder="1"/>
    <xf numFmtId="3" fontId="0" fillId="6" borderId="21" xfId="0" applyNumberFormat="1" applyFill="1" applyBorder="1"/>
    <xf numFmtId="3" fontId="0" fillId="6" borderId="6" xfId="0" applyNumberFormat="1" applyFill="1" applyBorder="1"/>
    <xf numFmtId="3" fontId="0" fillId="6" borderId="17" xfId="0" applyNumberFormat="1" applyFill="1" applyBorder="1"/>
    <xf numFmtId="3" fontId="0" fillId="6" borderId="40" xfId="0" applyNumberFormat="1" applyFill="1" applyBorder="1"/>
    <xf numFmtId="3" fontId="0" fillId="6" borderId="38" xfId="0" applyNumberFormat="1" applyFill="1" applyBorder="1"/>
    <xf numFmtId="2" fontId="2" fillId="6" borderId="24" xfId="0" applyNumberFormat="1" applyFont="1" applyFill="1" applyBorder="1"/>
    <xf numFmtId="3" fontId="0" fillId="6" borderId="28" xfId="0" applyNumberFormat="1" applyFill="1" applyBorder="1"/>
    <xf numFmtId="2" fontId="2" fillId="6" borderId="25" xfId="0" applyNumberFormat="1" applyFont="1" applyFill="1" applyBorder="1"/>
    <xf numFmtId="0" fontId="0" fillId="4" borderId="19" xfId="0" applyFill="1" applyBorder="1" applyAlignment="1">
      <alignment horizontal="center"/>
    </xf>
    <xf numFmtId="3" fontId="0" fillId="6" borderId="5" xfId="0" applyNumberFormat="1" applyFill="1" applyBorder="1"/>
    <xf numFmtId="2" fontId="2" fillId="6" borderId="27" xfId="0" applyNumberFormat="1" applyFont="1" applyFill="1" applyBorder="1"/>
    <xf numFmtId="3" fontId="0" fillId="6" borderId="18" xfId="0" applyNumberFormat="1" applyFill="1" applyBorder="1"/>
    <xf numFmtId="2" fontId="2" fillId="6" borderId="28" xfId="0" applyNumberFormat="1" applyFont="1" applyFill="1" applyBorder="1"/>
    <xf numFmtId="0" fontId="0" fillId="4" borderId="26" xfId="0" applyFill="1" applyBorder="1" applyAlignment="1">
      <alignment horizontal="center"/>
    </xf>
    <xf numFmtId="3" fontId="0" fillId="6" borderId="33" xfId="0" applyNumberFormat="1" applyFill="1" applyBorder="1"/>
    <xf numFmtId="0" fontId="0" fillId="12" borderId="13" xfId="0" applyFill="1" applyBorder="1"/>
    <xf numFmtId="2" fontId="0" fillId="0" borderId="42" xfId="0" applyNumberFormat="1" applyBorder="1"/>
    <xf numFmtId="3" fontId="0" fillId="0" borderId="42" xfId="0" applyNumberFormat="1" applyBorder="1"/>
    <xf numFmtId="3" fontId="0" fillId="6" borderId="27" xfId="0" applyNumberFormat="1" applyFill="1" applyBorder="1"/>
    <xf numFmtId="3" fontId="0" fillId="0" borderId="27" xfId="0" applyNumberFormat="1" applyBorder="1"/>
    <xf numFmtId="0" fontId="4" fillId="4" borderId="31" xfId="0" applyFont="1" applyFill="1" applyBorder="1" applyAlignment="1">
      <alignment horizontal="center"/>
    </xf>
    <xf numFmtId="0" fontId="0" fillId="7" borderId="11" xfId="0" applyFill="1" applyBorder="1"/>
    <xf numFmtId="3" fontId="2" fillId="0" borderId="1" xfId="0" applyNumberFormat="1" applyFont="1" applyBorder="1"/>
    <xf numFmtId="3" fontId="2" fillId="0" borderId="2" xfId="0" applyNumberFormat="1" applyFont="1" applyBorder="1"/>
    <xf numFmtId="0" fontId="2" fillId="3" borderId="9" xfId="0" applyFont="1" applyFill="1" applyBorder="1"/>
    <xf numFmtId="0" fontId="2" fillId="3" borderId="47" xfId="0" applyFont="1" applyFill="1" applyBorder="1"/>
    <xf numFmtId="0" fontId="2" fillId="6" borderId="16" xfId="0" applyFont="1" applyFill="1" applyBorder="1" applyAlignment="1">
      <alignment horizontal="center"/>
    </xf>
    <xf numFmtId="0" fontId="2" fillId="3" borderId="34" xfId="0" applyFont="1" applyFill="1" applyBorder="1"/>
    <xf numFmtId="0" fontId="2" fillId="3" borderId="29" xfId="0" applyFont="1" applyFill="1" applyBorder="1"/>
    <xf numFmtId="3" fontId="2" fillId="0" borderId="4" xfId="0" applyNumberFormat="1" applyFont="1" applyBorder="1"/>
    <xf numFmtId="3" fontId="2" fillId="0" borderId="46" xfId="0" applyNumberFormat="1" applyFont="1" applyBorder="1"/>
    <xf numFmtId="0" fontId="0" fillId="7" borderId="0" xfId="0" applyFill="1"/>
    <xf numFmtId="0" fontId="0" fillId="4" borderId="48" xfId="0" applyFill="1" applyBorder="1" applyAlignment="1">
      <alignment horizontal="center"/>
    </xf>
    <xf numFmtId="4" fontId="0" fillId="0" borderId="0" xfId="0" applyNumberFormat="1" applyAlignment="1">
      <alignment horizontal="right"/>
    </xf>
    <xf numFmtId="0" fontId="0" fillId="4" borderId="49" xfId="0" applyFill="1" applyBorder="1" applyAlignment="1">
      <alignment horizontal="center"/>
    </xf>
    <xf numFmtId="165" fontId="0" fillId="0" borderId="45" xfId="0" applyNumberFormat="1" applyBorder="1"/>
    <xf numFmtId="0" fontId="0" fillId="4" borderId="20" xfId="0" applyFill="1" applyBorder="1" applyAlignment="1">
      <alignment horizontal="center"/>
    </xf>
    <xf numFmtId="3" fontId="2" fillId="0" borderId="51" xfId="0" applyNumberFormat="1" applyFont="1" applyBorder="1"/>
    <xf numFmtId="0" fontId="0" fillId="4" borderId="15" xfId="0" applyFill="1" applyBorder="1" applyAlignment="1">
      <alignment horizontal="center"/>
    </xf>
    <xf numFmtId="3" fontId="2" fillId="0" borderId="22" xfId="0" applyNumberFormat="1" applyFont="1" applyBorder="1"/>
    <xf numFmtId="3" fontId="2" fillId="0" borderId="23" xfId="0" applyNumberFormat="1" applyFont="1" applyBorder="1"/>
    <xf numFmtId="3" fontId="0" fillId="0" borderId="22" xfId="0" applyNumberFormat="1" applyBorder="1"/>
    <xf numFmtId="3" fontId="0" fillId="0" borderId="51" xfId="0" applyNumberFormat="1" applyBorder="1"/>
    <xf numFmtId="0" fontId="6" fillId="0" borderId="0" xfId="0" applyFont="1"/>
    <xf numFmtId="0" fontId="7" fillId="0" borderId="0" xfId="0" applyFont="1"/>
    <xf numFmtId="165" fontId="0" fillId="0" borderId="0" xfId="0" applyNumberFormat="1"/>
    <xf numFmtId="0" fontId="0" fillId="6" borderId="53" xfId="0" applyFill="1" applyBorder="1" applyAlignment="1">
      <alignment horizontal="center"/>
    </xf>
    <xf numFmtId="0" fontId="0" fillId="7" borderId="29" xfId="0" applyFill="1" applyBorder="1"/>
    <xf numFmtId="165" fontId="2" fillId="0" borderId="5" xfId="0" applyNumberFormat="1" applyFont="1" applyBorder="1"/>
    <xf numFmtId="165" fontId="2" fillId="0" borderId="30" xfId="0" applyNumberFormat="1" applyFont="1" applyBorder="1"/>
    <xf numFmtId="0" fontId="0" fillId="4" borderId="52" xfId="0" applyFill="1" applyBorder="1" applyAlignment="1">
      <alignment horizontal="center"/>
    </xf>
    <xf numFmtId="165" fontId="2" fillId="0" borderId="32" xfId="0" applyNumberFormat="1" applyFont="1" applyBorder="1"/>
    <xf numFmtId="165" fontId="2" fillId="0" borderId="0" xfId="0" applyNumberFormat="1" applyFont="1"/>
    <xf numFmtId="0" fontId="0" fillId="4" borderId="54" xfId="0" applyFill="1" applyBorder="1" applyAlignment="1">
      <alignment horizontal="center"/>
    </xf>
    <xf numFmtId="0" fontId="0" fillId="4" borderId="55" xfId="0" applyFill="1" applyBorder="1" applyAlignment="1">
      <alignment horizontal="center"/>
    </xf>
    <xf numFmtId="0" fontId="0" fillId="4" borderId="0" xfId="0" applyFill="1" applyAlignment="1">
      <alignment horizontal="center"/>
    </xf>
    <xf numFmtId="0" fontId="0" fillId="4" borderId="56" xfId="0" applyFill="1" applyBorder="1" applyAlignment="1">
      <alignment horizontal="center"/>
    </xf>
    <xf numFmtId="3" fontId="0" fillId="0" borderId="50" xfId="0" applyNumberFormat="1" applyBorder="1"/>
    <xf numFmtId="3" fontId="0" fillId="6" borderId="51" xfId="0" applyNumberFormat="1" applyFill="1" applyBorder="1"/>
    <xf numFmtId="0" fontId="2" fillId="0" borderId="0" xfId="0" applyFont="1"/>
    <xf numFmtId="4" fontId="2" fillId="0" borderId="0" xfId="0" applyNumberFormat="1" applyFont="1" applyAlignment="1">
      <alignment horizontal="right"/>
    </xf>
    <xf numFmtId="0" fontId="2" fillId="6" borderId="13" xfId="0" applyFont="1" applyFill="1" applyBorder="1" applyAlignment="1">
      <alignment horizontal="center"/>
    </xf>
    <xf numFmtId="0" fontId="2" fillId="4" borderId="43" xfId="0" applyFont="1" applyFill="1" applyBorder="1" applyAlignment="1">
      <alignment horizontal="center"/>
    </xf>
    <xf numFmtId="0" fontId="2" fillId="4" borderId="44" xfId="0" applyFont="1" applyFill="1" applyBorder="1" applyAlignment="1">
      <alignment horizontal="center"/>
    </xf>
    <xf numFmtId="0" fontId="2" fillId="4" borderId="0" xfId="0" applyFont="1" applyFill="1" applyAlignment="1">
      <alignment horizontal="center"/>
    </xf>
    <xf numFmtId="3" fontId="2" fillId="0" borderId="0" xfId="0" applyNumberFormat="1" applyFont="1"/>
    <xf numFmtId="2" fontId="2" fillId="0" borderId="0" xfId="0" applyNumberFormat="1" applyFont="1"/>
    <xf numFmtId="0" fontId="2" fillId="7" borderId="0" xfId="0" applyFont="1" applyFill="1"/>
    <xf numFmtId="1" fontId="2" fillId="0" borderId="0" xfId="0" applyNumberFormat="1" applyFont="1"/>
    <xf numFmtId="0" fontId="9" fillId="0" borderId="16" xfId="0" applyFont="1" applyBorder="1" applyAlignment="1">
      <alignment vertical="center"/>
    </xf>
    <xf numFmtId="0" fontId="9" fillId="0" borderId="47" xfId="0" applyFont="1" applyBorder="1" applyAlignment="1">
      <alignment vertical="center"/>
    </xf>
    <xf numFmtId="0" fontId="11" fillId="0" borderId="57" xfId="0" applyFont="1" applyBorder="1" applyAlignment="1">
      <alignment horizontal="left" vertical="center" indent="4"/>
    </xf>
    <xf numFmtId="0" fontId="11" fillId="13" borderId="57" xfId="0" applyFont="1" applyFill="1" applyBorder="1" applyAlignment="1">
      <alignment horizontal="left" vertical="center" indent="4"/>
    </xf>
    <xf numFmtId="0" fontId="9" fillId="0" borderId="7" xfId="0" applyFont="1" applyBorder="1" applyAlignment="1">
      <alignment vertical="center"/>
    </xf>
    <xf numFmtId="166" fontId="0" fillId="0" borderId="0" xfId="14" applyNumberFormat="1" applyFont="1"/>
    <xf numFmtId="166" fontId="9" fillId="14" borderId="12" xfId="14" applyNumberFormat="1" applyFont="1" applyFill="1" applyBorder="1" applyAlignment="1">
      <alignment vertical="center"/>
    </xf>
    <xf numFmtId="166" fontId="11" fillId="14" borderId="12" xfId="14" applyNumberFormat="1" applyFont="1" applyFill="1" applyBorder="1" applyAlignment="1">
      <alignment vertical="center"/>
    </xf>
    <xf numFmtId="166" fontId="11" fillId="13" borderId="12" xfId="14" applyNumberFormat="1" applyFont="1" applyFill="1" applyBorder="1" applyAlignment="1">
      <alignment vertical="center"/>
    </xf>
    <xf numFmtId="166" fontId="9" fillId="14" borderId="58" xfId="14" applyNumberFormat="1" applyFont="1" applyFill="1" applyBorder="1" applyAlignment="1">
      <alignment vertical="center"/>
    </xf>
    <xf numFmtId="166" fontId="9" fillId="14" borderId="13" xfId="14" applyNumberFormat="1" applyFont="1" applyFill="1" applyBorder="1" applyAlignment="1">
      <alignment vertical="center"/>
    </xf>
    <xf numFmtId="166" fontId="9" fillId="14" borderId="12" xfId="14" applyNumberFormat="1" applyFont="1" applyFill="1" applyBorder="1" applyAlignment="1">
      <alignment horizontal="right" vertical="center"/>
    </xf>
    <xf numFmtId="166" fontId="11" fillId="14" borderId="12" xfId="14" applyNumberFormat="1" applyFont="1" applyFill="1" applyBorder="1" applyAlignment="1">
      <alignment horizontal="right" vertical="center"/>
    </xf>
    <xf numFmtId="166" fontId="11" fillId="13" borderId="12" xfId="14" applyNumberFormat="1" applyFont="1" applyFill="1" applyBorder="1" applyAlignment="1">
      <alignment horizontal="right" vertical="center"/>
    </xf>
    <xf numFmtId="166" fontId="9" fillId="14" borderId="58" xfId="14" applyNumberFormat="1" applyFont="1" applyFill="1" applyBorder="1" applyAlignment="1">
      <alignment horizontal="right" vertical="center"/>
    </xf>
    <xf numFmtId="166" fontId="9" fillId="14" borderId="13" xfId="14" applyNumberFormat="1" applyFont="1" applyFill="1" applyBorder="1" applyAlignment="1">
      <alignment horizontal="right" vertical="center"/>
    </xf>
    <xf numFmtId="166" fontId="0" fillId="0" borderId="0" xfId="0" applyNumberFormat="1"/>
    <xf numFmtId="0" fontId="15" fillId="0" borderId="59" xfId="0" applyFont="1" applyBorder="1" applyAlignment="1">
      <alignment vertical="center"/>
    </xf>
    <xf numFmtId="0" fontId="15" fillId="0" borderId="57" xfId="0" applyFont="1" applyBorder="1" applyAlignment="1">
      <alignment vertical="center"/>
    </xf>
    <xf numFmtId="0" fontId="15" fillId="0" borderId="47" xfId="0" applyFont="1" applyBorder="1" applyAlignment="1">
      <alignment vertical="center"/>
    </xf>
    <xf numFmtId="0" fontId="16" fillId="13" borderId="57" xfId="0" applyFont="1" applyFill="1" applyBorder="1" applyAlignment="1">
      <alignment vertical="center"/>
    </xf>
    <xf numFmtId="0" fontId="17" fillId="0" borderId="60" xfId="0" applyFont="1" applyBorder="1" applyAlignment="1">
      <alignment vertical="center"/>
    </xf>
    <xf numFmtId="3" fontId="9" fillId="14" borderId="10" xfId="0" applyNumberFormat="1" applyFont="1" applyFill="1" applyBorder="1" applyAlignment="1">
      <alignment vertical="center"/>
    </xf>
    <xf numFmtId="3" fontId="11" fillId="13" borderId="10" xfId="0" applyNumberFormat="1" applyFont="1" applyFill="1" applyBorder="1" applyAlignment="1">
      <alignment vertical="center"/>
    </xf>
    <xf numFmtId="3" fontId="17" fillId="14" borderId="13" xfId="0" applyNumberFormat="1" applyFont="1" applyFill="1" applyBorder="1" applyAlignment="1">
      <alignment vertical="center"/>
    </xf>
    <xf numFmtId="3" fontId="9" fillId="14" borderId="35" xfId="0" applyNumberFormat="1" applyFont="1" applyFill="1" applyBorder="1" applyAlignment="1">
      <alignment horizontal="right" vertical="center"/>
    </xf>
    <xf numFmtId="3" fontId="9" fillId="14" borderId="10" xfId="0" applyNumberFormat="1" applyFont="1" applyFill="1" applyBorder="1" applyAlignment="1">
      <alignment horizontal="right" vertical="center"/>
    </xf>
    <xf numFmtId="3" fontId="11" fillId="13" borderId="10" xfId="0" applyNumberFormat="1" applyFont="1" applyFill="1" applyBorder="1" applyAlignment="1">
      <alignment horizontal="right" vertical="center"/>
    </xf>
    <xf numFmtId="3" fontId="17" fillId="14" borderId="13" xfId="0" applyNumberFormat="1" applyFont="1" applyFill="1" applyBorder="1" applyAlignment="1">
      <alignment horizontal="right" vertical="center"/>
    </xf>
    <xf numFmtId="0" fontId="9" fillId="0" borderId="59" xfId="0" applyFont="1" applyBorder="1" applyAlignment="1">
      <alignment vertical="center"/>
    </xf>
    <xf numFmtId="167" fontId="0" fillId="0" borderId="0" xfId="14" applyNumberFormat="1" applyFont="1"/>
    <xf numFmtId="168" fontId="0" fillId="0" borderId="0" xfId="0" applyNumberFormat="1"/>
    <xf numFmtId="3" fontId="9" fillId="14" borderId="12" xfId="0" applyNumberFormat="1" applyFont="1" applyFill="1" applyBorder="1" applyAlignment="1">
      <alignment horizontal="right" vertical="center"/>
    </xf>
    <xf numFmtId="3" fontId="11" fillId="14" borderId="12" xfId="0" applyNumberFormat="1" applyFont="1" applyFill="1" applyBorder="1" applyAlignment="1">
      <alignment horizontal="right" vertical="center"/>
    </xf>
    <xf numFmtId="3" fontId="11" fillId="13" borderId="12" xfId="0" applyNumberFormat="1" applyFont="1" applyFill="1" applyBorder="1" applyAlignment="1">
      <alignment horizontal="right" vertical="center"/>
    </xf>
    <xf numFmtId="3" fontId="9" fillId="14" borderId="58" xfId="0" applyNumberFormat="1" applyFont="1" applyFill="1" applyBorder="1" applyAlignment="1">
      <alignment horizontal="right" vertical="center"/>
    </xf>
    <xf numFmtId="3" fontId="9" fillId="14" borderId="13" xfId="0" applyNumberFormat="1" applyFont="1" applyFill="1" applyBorder="1" applyAlignment="1">
      <alignment horizontal="right" vertical="center"/>
    </xf>
    <xf numFmtId="0" fontId="0" fillId="0" borderId="0" xfId="0" applyAlignment="1">
      <alignment horizontal="center"/>
    </xf>
    <xf numFmtId="3" fontId="0" fillId="7" borderId="1" xfId="0" applyNumberFormat="1" applyFill="1" applyBorder="1"/>
    <xf numFmtId="164" fontId="0" fillId="0" borderId="1" xfId="0" applyNumberFormat="1" applyBorder="1"/>
    <xf numFmtId="3" fontId="0" fillId="9" borderId="22" xfId="0" applyNumberFormat="1" applyFill="1" applyBorder="1"/>
    <xf numFmtId="0" fontId="0" fillId="4" borderId="28" xfId="0" applyFill="1" applyBorder="1" applyAlignment="1">
      <alignment horizontal="center"/>
    </xf>
    <xf numFmtId="4" fontId="2" fillId="0" borderId="0" xfId="0" applyNumberFormat="1" applyFont="1"/>
    <xf numFmtId="4" fontId="2" fillId="0" borderId="28" xfId="0" applyNumberFormat="1" applyFont="1" applyBorder="1"/>
    <xf numFmtId="0" fontId="9" fillId="0" borderId="57" xfId="0" applyFont="1" applyBorder="1" applyAlignment="1">
      <alignment vertical="center"/>
    </xf>
    <xf numFmtId="0" fontId="11" fillId="0" borderId="47" xfId="0" applyFont="1" applyBorder="1" applyAlignment="1">
      <alignment horizontal="left" vertical="center" indent="4"/>
    </xf>
    <xf numFmtId="3" fontId="9" fillId="14" borderId="12" xfId="0" applyNumberFormat="1" applyFont="1" applyFill="1" applyBorder="1" applyAlignment="1">
      <alignment vertical="center"/>
    </xf>
    <xf numFmtId="0" fontId="2" fillId="4" borderId="13" xfId="0" applyFont="1" applyFill="1" applyBorder="1" applyAlignment="1">
      <alignment horizontal="center"/>
    </xf>
    <xf numFmtId="166" fontId="9" fillId="14" borderId="0" xfId="14" applyNumberFormat="1" applyFont="1" applyFill="1" applyBorder="1" applyAlignment="1">
      <alignment vertical="center"/>
    </xf>
    <xf numFmtId="166" fontId="11" fillId="14" borderId="0" xfId="14" applyNumberFormat="1" applyFont="1" applyFill="1" applyBorder="1" applyAlignment="1">
      <alignment vertical="center"/>
    </xf>
    <xf numFmtId="166" fontId="11" fillId="13" borderId="0" xfId="14" applyNumberFormat="1" applyFont="1" applyFill="1" applyBorder="1" applyAlignment="1">
      <alignment vertical="center"/>
    </xf>
    <xf numFmtId="3" fontId="9" fillId="14" borderId="0" xfId="0" applyNumberFormat="1" applyFont="1" applyFill="1" applyAlignment="1">
      <alignment horizontal="right" vertical="center"/>
    </xf>
    <xf numFmtId="3" fontId="11" fillId="14" borderId="0" xfId="0" applyNumberFormat="1" applyFont="1" applyFill="1" applyAlignment="1">
      <alignment horizontal="right" vertical="center"/>
    </xf>
    <xf numFmtId="3" fontId="11" fillId="13" borderId="0" xfId="0" applyNumberFormat="1" applyFont="1" applyFill="1" applyAlignment="1">
      <alignment horizontal="right" vertical="center"/>
    </xf>
    <xf numFmtId="169" fontId="0" fillId="0" borderId="0" xfId="0" applyNumberFormat="1"/>
    <xf numFmtId="169" fontId="0" fillId="0" borderId="0" xfId="0" applyNumberFormat="1" applyAlignment="1">
      <alignment horizontal="right"/>
    </xf>
    <xf numFmtId="0" fontId="0" fillId="4" borderId="27" xfId="0" applyFill="1" applyBorder="1" applyAlignment="1">
      <alignment horizontal="center"/>
    </xf>
    <xf numFmtId="164" fontId="2" fillId="0" borderId="0" xfId="0" applyNumberFormat="1" applyFont="1"/>
    <xf numFmtId="0" fontId="0" fillId="0" borderId="0" xfId="0" applyAlignment="1">
      <alignment horizontal="right"/>
    </xf>
    <xf numFmtId="3" fontId="0" fillId="7" borderId="50" xfId="0" applyNumberFormat="1" applyFill="1" applyBorder="1"/>
    <xf numFmtId="2" fontId="2" fillId="8" borderId="33" xfId="0" applyNumberFormat="1" applyFont="1" applyFill="1" applyBorder="1"/>
    <xf numFmtId="0" fontId="0" fillId="4" borderId="53" xfId="0" applyFill="1" applyBorder="1" applyAlignment="1">
      <alignment horizontal="center"/>
    </xf>
    <xf numFmtId="0" fontId="0" fillId="4" borderId="62" xfId="0" applyFill="1" applyBorder="1" applyAlignment="1">
      <alignment horizontal="center"/>
    </xf>
    <xf numFmtId="0" fontId="0" fillId="9" borderId="13" xfId="0" applyFill="1" applyBorder="1" applyAlignment="1">
      <alignment horizontal="center"/>
    </xf>
    <xf numFmtId="0" fontId="0" fillId="4" borderId="63" xfId="0" applyFill="1" applyBorder="1" applyAlignment="1">
      <alignment horizontal="center"/>
    </xf>
    <xf numFmtId="0" fontId="0" fillId="4" borderId="7" xfId="0" applyFill="1" applyBorder="1" applyAlignment="1">
      <alignment horizontal="center"/>
    </xf>
    <xf numFmtId="0" fontId="0" fillId="4" borderId="64" xfId="0" applyFill="1" applyBorder="1" applyAlignment="1">
      <alignment horizontal="center"/>
    </xf>
    <xf numFmtId="0" fontId="0" fillId="3" borderId="13" xfId="0" applyFill="1" applyBorder="1"/>
    <xf numFmtId="165" fontId="0" fillId="0" borderId="8" xfId="0" applyNumberFormat="1" applyBorder="1"/>
    <xf numFmtId="165" fontId="0" fillId="0" borderId="24" xfId="0" applyNumberFormat="1" applyBorder="1"/>
    <xf numFmtId="165" fontId="0" fillId="0" borderId="25" xfId="0" applyNumberFormat="1" applyBorder="1"/>
    <xf numFmtId="165" fontId="0" fillId="0" borderId="65" xfId="0" applyNumberFormat="1" applyBorder="1"/>
    <xf numFmtId="165" fontId="0" fillId="0" borderId="13" xfId="0" applyNumberFormat="1" applyBorder="1"/>
    <xf numFmtId="165" fontId="0" fillId="0" borderId="18" xfId="0" applyNumberFormat="1" applyBorder="1"/>
    <xf numFmtId="165" fontId="0" fillId="0" borderId="26" xfId="0" applyNumberFormat="1" applyBorder="1"/>
    <xf numFmtId="165" fontId="20" fillId="0" borderId="8" xfId="0" applyNumberFormat="1" applyFont="1" applyBorder="1" applyAlignment="1">
      <alignment horizontal="right"/>
    </xf>
    <xf numFmtId="165" fontId="20" fillId="0" borderId="24" xfId="0" applyNumberFormat="1" applyFont="1" applyBorder="1" applyAlignment="1">
      <alignment horizontal="right"/>
    </xf>
    <xf numFmtId="164" fontId="0" fillId="0" borderId="6" xfId="0" applyNumberFormat="1" applyBorder="1"/>
    <xf numFmtId="164" fontId="0" fillId="0" borderId="24" xfId="0" applyNumberFormat="1" applyBorder="1"/>
    <xf numFmtId="165" fontId="20" fillId="0" borderId="15" xfId="0" applyNumberFormat="1" applyFont="1" applyBorder="1" applyAlignment="1">
      <alignment horizontal="right"/>
    </xf>
    <xf numFmtId="0" fontId="0" fillId="0" borderId="15" xfId="0" applyBorder="1"/>
    <xf numFmtId="165" fontId="20" fillId="0" borderId="0" xfId="0" applyNumberFormat="1" applyFont="1" applyAlignment="1">
      <alignment horizontal="right"/>
    </xf>
    <xf numFmtId="4" fontId="2" fillId="8" borderId="65" xfId="0" applyNumberFormat="1" applyFont="1" applyFill="1" applyBorder="1"/>
    <xf numFmtId="4" fontId="2" fillId="8" borderId="25" xfId="0" applyNumberFormat="1" applyFont="1" applyFill="1" applyBorder="1"/>
    <xf numFmtId="0" fontId="2" fillId="15" borderId="24" xfId="0" applyFont="1" applyFill="1" applyBorder="1" applyAlignment="1">
      <alignment horizontal="center" vertical="center"/>
    </xf>
    <xf numFmtId="3" fontId="21" fillId="0" borderId="24" xfId="0" applyNumberFormat="1" applyFont="1" applyBorder="1"/>
    <xf numFmtId="3" fontId="7" fillId="0" borderId="24" xfId="0" applyNumberFormat="1" applyFont="1" applyBorder="1"/>
    <xf numFmtId="3" fontId="19" fillId="0" borderId="24" xfId="0" applyNumberFormat="1" applyFont="1" applyBorder="1"/>
    <xf numFmtId="3" fontId="22" fillId="16" borderId="24" xfId="0" applyNumberFormat="1" applyFont="1" applyFill="1" applyBorder="1"/>
    <xf numFmtId="3" fontId="7" fillId="0" borderId="65" xfId="0" applyNumberFormat="1" applyFont="1" applyBorder="1"/>
    <xf numFmtId="2" fontId="2" fillId="8" borderId="18" xfId="0" applyNumberFormat="1" applyFont="1" applyFill="1" applyBorder="1"/>
    <xf numFmtId="2" fontId="2" fillId="8" borderId="65" xfId="0" applyNumberFormat="1" applyFont="1" applyFill="1" applyBorder="1"/>
    <xf numFmtId="2" fontId="2" fillId="8" borderId="13" xfId="0" applyNumberFormat="1" applyFont="1" applyFill="1" applyBorder="1"/>
    <xf numFmtId="0" fontId="0" fillId="6" borderId="0" xfId="0" applyFill="1"/>
    <xf numFmtId="0" fontId="0" fillId="15" borderId="53" xfId="0" applyFill="1" applyBorder="1"/>
    <xf numFmtId="2" fontId="0" fillId="0" borderId="62" xfId="0" applyNumberFormat="1" applyBorder="1"/>
    <xf numFmtId="0" fontId="0" fillId="4" borderId="0" xfId="0" applyFill="1"/>
    <xf numFmtId="0" fontId="0" fillId="7" borderId="47" xfId="0" applyFill="1" applyBorder="1"/>
    <xf numFmtId="3" fontId="0" fillId="7" borderId="2" xfId="0" applyNumberFormat="1" applyFill="1" applyBorder="1"/>
    <xf numFmtId="3" fontId="0" fillId="7" borderId="42" xfId="0" applyNumberFormat="1" applyFill="1" applyBorder="1"/>
    <xf numFmtId="0" fontId="0" fillId="15" borderId="4" xfId="0" applyFill="1" applyBorder="1"/>
    <xf numFmtId="2" fontId="0" fillId="0" borderId="66" xfId="0" applyNumberFormat="1" applyBorder="1"/>
    <xf numFmtId="0" fontId="0" fillId="0" borderId="50" xfId="0" applyBorder="1" applyAlignment="1">
      <alignment horizontal="right"/>
    </xf>
    <xf numFmtId="0" fontId="0" fillId="15" borderId="29" xfId="0" applyFill="1" applyBorder="1"/>
    <xf numFmtId="2" fontId="0" fillId="0" borderId="67" xfId="0" applyNumberFormat="1" applyBorder="1"/>
    <xf numFmtId="2" fontId="0" fillId="0" borderId="50" xfId="0" applyNumberFormat="1" applyBorder="1"/>
    <xf numFmtId="0" fontId="0" fillId="6" borderId="14" xfId="0" applyFill="1" applyBorder="1" applyAlignment="1">
      <alignment horizontal="center"/>
    </xf>
    <xf numFmtId="0" fontId="0" fillId="4" borderId="58" xfId="0" applyFill="1" applyBorder="1" applyAlignment="1">
      <alignment horizontal="center"/>
    </xf>
    <xf numFmtId="0" fontId="0" fillId="4" borderId="14" xfId="0" applyFill="1" applyBorder="1" applyAlignment="1">
      <alignment horizontal="center"/>
    </xf>
    <xf numFmtId="4" fontId="0" fillId="0" borderId="59" xfId="0" applyNumberFormat="1" applyBorder="1"/>
    <xf numFmtId="4" fontId="0" fillId="0" borderId="54" xfId="0" applyNumberFormat="1" applyBorder="1"/>
    <xf numFmtId="4" fontId="0" fillId="0" borderId="62" xfId="0" applyNumberFormat="1" applyBorder="1"/>
    <xf numFmtId="4" fontId="0" fillId="0" borderId="57" xfId="0" applyNumberFormat="1" applyBorder="1"/>
    <xf numFmtId="4" fontId="0" fillId="0" borderId="1" xfId="0" applyNumberFormat="1" applyBorder="1"/>
    <xf numFmtId="4" fontId="0" fillId="0" borderId="27" xfId="0" applyNumberFormat="1" applyBorder="1"/>
    <xf numFmtId="4" fontId="0" fillId="0" borderId="69" xfId="0" applyNumberFormat="1" applyBorder="1"/>
    <xf numFmtId="4" fontId="0" fillId="7" borderId="70" xfId="0" applyNumberFormat="1" applyFill="1" applyBorder="1"/>
    <xf numFmtId="4" fontId="0" fillId="7" borderId="5" xfId="0" applyNumberFormat="1" applyFill="1" applyBorder="1"/>
    <xf numFmtId="4" fontId="0" fillId="7" borderId="67" xfId="0" applyNumberFormat="1" applyFill="1" applyBorder="1"/>
    <xf numFmtId="2" fontId="2" fillId="6" borderId="6" xfId="0" applyNumberFormat="1" applyFont="1" applyFill="1" applyBorder="1"/>
    <xf numFmtId="2" fontId="2" fillId="6" borderId="17" xfId="0" applyNumberFormat="1" applyFont="1" applyFill="1" applyBorder="1"/>
    <xf numFmtId="2" fontId="0" fillId="0" borderId="53" xfId="0" applyNumberFormat="1" applyBorder="1"/>
    <xf numFmtId="2" fontId="0" fillId="0" borderId="54" xfId="0" applyNumberFormat="1" applyBorder="1"/>
    <xf numFmtId="3" fontId="0" fillId="0" borderId="35" xfId="0" applyNumberFormat="1" applyBorder="1"/>
    <xf numFmtId="3" fontId="0" fillId="0" borderId="71" xfId="0" applyNumberFormat="1" applyBorder="1"/>
    <xf numFmtId="2" fontId="0" fillId="7" borderId="29" xfId="0" applyNumberFormat="1" applyFill="1" applyBorder="1"/>
    <xf numFmtId="2" fontId="0" fillId="7" borderId="5" xfId="0" applyNumberFormat="1" applyFill="1" applyBorder="1"/>
    <xf numFmtId="2" fontId="0" fillId="7" borderId="67" xfId="0" applyNumberFormat="1" applyFill="1" applyBorder="1"/>
    <xf numFmtId="3" fontId="0" fillId="0" borderId="10" xfId="0" applyNumberFormat="1" applyBorder="1"/>
    <xf numFmtId="3" fontId="0" fillId="0" borderId="72" xfId="0" applyNumberFormat="1" applyBorder="1"/>
    <xf numFmtId="0" fontId="0" fillId="15" borderId="46" xfId="0" applyFill="1" applyBorder="1"/>
    <xf numFmtId="0" fontId="18" fillId="0" borderId="0" xfId="0" applyFont="1"/>
    <xf numFmtId="0" fontId="23" fillId="0" borderId="0" xfId="0" applyFont="1" applyAlignment="1">
      <alignment horizontal="center"/>
    </xf>
    <xf numFmtId="3" fontId="0" fillId="0" borderId="12" xfId="0" applyNumberFormat="1" applyBorder="1"/>
    <xf numFmtId="0" fontId="0" fillId="3" borderId="59" xfId="0" applyFill="1" applyBorder="1"/>
    <xf numFmtId="4" fontId="0" fillId="0" borderId="53" xfId="0" applyNumberFormat="1" applyBorder="1"/>
    <xf numFmtId="4" fontId="0" fillId="0" borderId="35" xfId="0" applyNumberFormat="1" applyBorder="1"/>
    <xf numFmtId="0" fontId="0" fillId="3" borderId="57" xfId="0" applyFill="1" applyBorder="1"/>
    <xf numFmtId="4" fontId="0" fillId="0" borderId="4" xfId="0" applyNumberFormat="1" applyBorder="1"/>
    <xf numFmtId="4" fontId="0" fillId="0" borderId="10" xfId="0" applyNumberFormat="1" applyBorder="1"/>
    <xf numFmtId="0" fontId="0" fillId="9" borderId="13" xfId="0" applyFill="1" applyBorder="1"/>
    <xf numFmtId="3" fontId="0" fillId="7" borderId="13" xfId="0" applyNumberFormat="1" applyFill="1" applyBorder="1"/>
    <xf numFmtId="0" fontId="0" fillId="7" borderId="73" xfId="0" applyFill="1" applyBorder="1"/>
    <xf numFmtId="4" fontId="0" fillId="7" borderId="29" xfId="0" applyNumberFormat="1" applyFill="1" applyBorder="1"/>
    <xf numFmtId="4" fontId="0" fillId="7" borderId="11" xfId="0" applyNumberFormat="1" applyFill="1" applyBorder="1"/>
    <xf numFmtId="3" fontId="0" fillId="7" borderId="7" xfId="0" applyNumberFormat="1" applyFill="1" applyBorder="1"/>
    <xf numFmtId="3" fontId="0" fillId="0" borderId="11" xfId="0" applyNumberFormat="1" applyBorder="1"/>
    <xf numFmtId="0" fontId="0" fillId="4" borderId="16" xfId="0" applyFill="1" applyBorder="1" applyAlignment="1">
      <alignment horizontal="center"/>
    </xf>
    <xf numFmtId="2" fontId="2" fillId="8" borderId="24" xfId="0" applyNumberFormat="1" applyFont="1" applyFill="1" applyBorder="1"/>
    <xf numFmtId="0" fontId="0" fillId="4" borderId="13" xfId="0" applyFill="1" applyBorder="1"/>
    <xf numFmtId="165" fontId="0" fillId="0" borderId="6" xfId="0" applyNumberFormat="1" applyBorder="1"/>
    <xf numFmtId="165" fontId="0" fillId="0" borderId="17" xfId="0" applyNumberFormat="1" applyBorder="1"/>
    <xf numFmtId="165" fontId="0" fillId="0" borderId="74" xfId="0" applyNumberFormat="1" applyBorder="1"/>
    <xf numFmtId="164" fontId="0" fillId="0" borderId="54" xfId="0" applyNumberFormat="1" applyBorder="1"/>
    <xf numFmtId="3" fontId="0" fillId="0" borderId="62" xfId="0" applyNumberFormat="1" applyBorder="1"/>
    <xf numFmtId="165" fontId="0" fillId="0" borderId="33" xfId="0" applyNumberFormat="1" applyBorder="1"/>
    <xf numFmtId="0" fontId="25" fillId="0" borderId="0" xfId="0" applyFont="1"/>
    <xf numFmtId="0" fontId="0" fillId="0" borderId="0" xfId="0" applyAlignment="1">
      <alignment horizontal="left"/>
    </xf>
    <xf numFmtId="3" fontId="0" fillId="9" borderId="54" xfId="0" applyNumberFormat="1" applyFill="1" applyBorder="1"/>
    <xf numFmtId="3" fontId="0" fillId="9" borderId="49" xfId="0" applyNumberFormat="1" applyFill="1" applyBorder="1"/>
    <xf numFmtId="3" fontId="0" fillId="9" borderId="48" xfId="0" applyNumberFormat="1" applyFill="1" applyBorder="1"/>
    <xf numFmtId="3" fontId="0" fillId="9" borderId="1" xfId="0" applyNumberFormat="1" applyFill="1" applyBorder="1"/>
    <xf numFmtId="3" fontId="0" fillId="11" borderId="2" xfId="0" applyNumberFormat="1" applyFill="1" applyBorder="1"/>
    <xf numFmtId="3" fontId="0" fillId="11" borderId="42" xfId="0" applyNumberFormat="1" applyFill="1" applyBorder="1"/>
    <xf numFmtId="166" fontId="27" fillId="0" borderId="0" xfId="14" applyNumberFormat="1" applyFont="1" applyFill="1" applyBorder="1" applyAlignment="1">
      <alignment vertical="center" wrapText="1"/>
    </xf>
    <xf numFmtId="3" fontId="2" fillId="10" borderId="50" xfId="0" applyNumberFormat="1" applyFont="1" applyFill="1" applyBorder="1"/>
    <xf numFmtId="3" fontId="2" fillId="10" borderId="1" xfId="0" applyNumberFormat="1" applyFont="1" applyFill="1" applyBorder="1"/>
    <xf numFmtId="3" fontId="2" fillId="10" borderId="42" xfId="0" applyNumberFormat="1" applyFont="1" applyFill="1" applyBorder="1"/>
    <xf numFmtId="3" fontId="2" fillId="10" borderId="2" xfId="0" applyNumberFormat="1" applyFont="1" applyFill="1" applyBorder="1"/>
    <xf numFmtId="0" fontId="2" fillId="3" borderId="35" xfId="0" applyFont="1" applyFill="1" applyBorder="1"/>
    <xf numFmtId="166" fontId="28" fillId="0" borderId="0" xfId="14" applyNumberFormat="1" applyFont="1" applyFill="1" applyBorder="1" applyAlignment="1">
      <alignment horizontal="left" vertical="center" wrapText="1" indent="3"/>
    </xf>
    <xf numFmtId="3" fontId="2" fillId="0" borderId="38" xfId="0" applyNumberFormat="1" applyFont="1" applyBorder="1"/>
    <xf numFmtId="3" fontId="2" fillId="0" borderId="5" xfId="0" applyNumberFormat="1" applyFont="1" applyBorder="1"/>
    <xf numFmtId="3" fontId="2" fillId="0" borderId="18" xfId="0" applyNumberFormat="1" applyFont="1" applyBorder="1"/>
    <xf numFmtId="3" fontId="0" fillId="0" borderId="5" xfId="0" applyNumberFormat="1" applyBorder="1"/>
    <xf numFmtId="3" fontId="0" fillId="0" borderId="30" xfId="0" applyNumberFormat="1" applyBorder="1"/>
    <xf numFmtId="0" fontId="0" fillId="16" borderId="16" xfId="0" applyFill="1" applyBorder="1"/>
    <xf numFmtId="4" fontId="0" fillId="0" borderId="55" xfId="0" applyNumberFormat="1" applyBorder="1"/>
    <xf numFmtId="4" fontId="0" fillId="0" borderId="49" xfId="0" applyNumberFormat="1" applyBorder="1"/>
    <xf numFmtId="4" fontId="0" fillId="0" borderId="22" xfId="0" applyNumberFormat="1" applyBorder="1"/>
    <xf numFmtId="0" fontId="0" fillId="16" borderId="11" xfId="0" applyFill="1" applyBorder="1"/>
    <xf numFmtId="4" fontId="0" fillId="0" borderId="30" xfId="0" applyNumberFormat="1" applyBorder="1"/>
    <xf numFmtId="4" fontId="0" fillId="0" borderId="5" xfId="0" applyNumberFormat="1" applyBorder="1"/>
    <xf numFmtId="4" fontId="0" fillId="0" borderId="18" xfId="0" applyNumberFormat="1" applyBorder="1"/>
    <xf numFmtId="0" fontId="2" fillId="7" borderId="58" xfId="0" applyFont="1" applyFill="1" applyBorder="1"/>
    <xf numFmtId="3" fontId="2" fillId="7" borderId="75" xfId="0" applyNumberFormat="1" applyFont="1" applyFill="1" applyBorder="1"/>
    <xf numFmtId="3" fontId="2" fillId="7" borderId="27" xfId="0" applyNumberFormat="1" applyFont="1" applyFill="1" applyBorder="1"/>
    <xf numFmtId="3" fontId="2" fillId="7" borderId="28" xfId="0" applyNumberFormat="1" applyFont="1" applyFill="1" applyBorder="1"/>
    <xf numFmtId="0" fontId="0" fillId="0" borderId="47" xfId="0" applyBorder="1"/>
    <xf numFmtId="0" fontId="2" fillId="0" borderId="0" xfId="0" applyFont="1" applyAlignment="1">
      <alignment horizontal="center" vertical="center"/>
    </xf>
    <xf numFmtId="0" fontId="2" fillId="7" borderId="47" xfId="0" applyFont="1" applyFill="1" applyBorder="1"/>
    <xf numFmtId="3" fontId="2" fillId="7" borderId="21" xfId="0" applyNumberFormat="1" applyFont="1" applyFill="1" applyBorder="1"/>
    <xf numFmtId="3" fontId="2" fillId="7" borderId="6" xfId="0" applyNumberFormat="1" applyFont="1" applyFill="1" applyBorder="1"/>
    <xf numFmtId="3" fontId="2" fillId="7" borderId="17" xfId="0" applyNumberFormat="1" applyFont="1" applyFill="1" applyBorder="1"/>
    <xf numFmtId="3" fontId="2" fillId="7" borderId="1" xfId="0" applyNumberFormat="1" applyFont="1" applyFill="1" applyBorder="1"/>
    <xf numFmtId="3" fontId="2" fillId="7" borderId="2" xfId="0" applyNumberFormat="1" applyFont="1" applyFill="1" applyBorder="1"/>
    <xf numFmtId="3" fontId="2" fillId="7" borderId="50" xfId="0" applyNumberFormat="1" applyFont="1" applyFill="1" applyBorder="1"/>
    <xf numFmtId="164" fontId="0" fillId="0" borderId="51" xfId="0" applyNumberFormat="1" applyBorder="1"/>
    <xf numFmtId="0" fontId="0" fillId="0" borderId="76" xfId="0" applyBorder="1" applyAlignment="1">
      <alignment horizontal="right"/>
    </xf>
    <xf numFmtId="2" fontId="0" fillId="0" borderId="22" xfId="0" applyNumberFormat="1" applyBorder="1"/>
    <xf numFmtId="2" fontId="0" fillId="0" borderId="23" xfId="0" applyNumberFormat="1" applyBorder="1"/>
    <xf numFmtId="164" fontId="0" fillId="0" borderId="5" xfId="0" applyNumberFormat="1" applyBorder="1"/>
    <xf numFmtId="3" fontId="0" fillId="0" borderId="67" xfId="0" applyNumberFormat="1" applyBorder="1"/>
    <xf numFmtId="0" fontId="2" fillId="0" borderId="8" xfId="0" applyFont="1" applyBorder="1" applyAlignment="1">
      <alignment horizontal="center" vertical="center"/>
    </xf>
    <xf numFmtId="0" fontId="2" fillId="0" borderId="26" xfId="0" applyFont="1" applyBorder="1" applyAlignment="1">
      <alignment horizontal="center" vertical="center" wrapText="1"/>
    </xf>
    <xf numFmtId="0" fontId="2" fillId="0" borderId="24" xfId="0" applyFont="1" applyBorder="1" applyAlignment="1">
      <alignment horizontal="center" vertical="center" wrapText="1"/>
    </xf>
    <xf numFmtId="3" fontId="2" fillId="0" borderId="24" xfId="0" applyNumberFormat="1" applyFont="1" applyBorder="1" applyAlignment="1">
      <alignment horizontal="center" vertical="center" wrapText="1"/>
    </xf>
    <xf numFmtId="0" fontId="2" fillId="0" borderId="65" xfId="0" applyFont="1" applyBorder="1" applyAlignment="1">
      <alignment horizontal="center" vertical="center" wrapText="1"/>
    </xf>
    <xf numFmtId="3" fontId="0" fillId="7" borderId="0" xfId="0" applyNumberFormat="1" applyFill="1"/>
    <xf numFmtId="0" fontId="15" fillId="0" borderId="77" xfId="0" applyFont="1" applyBorder="1" applyAlignment="1">
      <alignment vertical="center"/>
    </xf>
    <xf numFmtId="2" fontId="15" fillId="0" borderId="76" xfId="0" applyNumberFormat="1" applyFont="1" applyBorder="1" applyAlignment="1">
      <alignment vertical="center"/>
    </xf>
    <xf numFmtId="2" fontId="2" fillId="0" borderId="69" xfId="0" applyNumberFormat="1" applyFont="1" applyBorder="1" applyAlignment="1">
      <alignment horizontal="right" vertical="center"/>
    </xf>
    <xf numFmtId="0" fontId="15" fillId="0" borderId="4" xfId="0" applyFont="1" applyBorder="1" applyAlignment="1">
      <alignment vertical="center"/>
    </xf>
    <xf numFmtId="2" fontId="15" fillId="0" borderId="50" xfId="0" applyNumberFormat="1" applyFont="1" applyBorder="1" applyAlignment="1">
      <alignment vertical="center"/>
    </xf>
    <xf numFmtId="2" fontId="0" fillId="0" borderId="66" xfId="0" applyNumberFormat="1" applyBorder="1" applyAlignment="1">
      <alignment horizontal="right" vertical="center"/>
    </xf>
    <xf numFmtId="0" fontId="2" fillId="6" borderId="14" xfId="0" applyFont="1" applyFill="1" applyBorder="1"/>
    <xf numFmtId="3" fontId="2" fillId="6" borderId="21" xfId="0" applyNumberFormat="1" applyFont="1" applyFill="1" applyBorder="1"/>
    <xf numFmtId="3" fontId="2" fillId="6" borderId="6" xfId="0" applyNumberFormat="1" applyFont="1" applyFill="1" applyBorder="1"/>
    <xf numFmtId="3" fontId="2" fillId="6" borderId="17" xfId="0" applyNumberFormat="1" applyFont="1" applyFill="1" applyBorder="1"/>
    <xf numFmtId="3" fontId="2" fillId="6" borderId="5" xfId="0" applyNumberFormat="1" applyFont="1" applyFill="1" applyBorder="1"/>
    <xf numFmtId="3" fontId="2" fillId="6" borderId="18" xfId="0" applyNumberFormat="1" applyFont="1" applyFill="1" applyBorder="1"/>
    <xf numFmtId="3" fontId="2" fillId="6" borderId="67" xfId="0" applyNumberFormat="1" applyFont="1" applyFill="1" applyBorder="1"/>
    <xf numFmtId="0" fontId="30" fillId="0" borderId="4" xfId="0" applyFont="1" applyBorder="1" applyAlignment="1">
      <alignment horizontal="left" vertical="center" indent="2"/>
    </xf>
    <xf numFmtId="2" fontId="30" fillId="0" borderId="50" xfId="0" applyNumberFormat="1" applyFont="1" applyBorder="1" applyAlignment="1">
      <alignment horizontal="left" vertical="center" indent="2"/>
    </xf>
    <xf numFmtId="3" fontId="30" fillId="0" borderId="1" xfId="0" applyNumberFormat="1" applyFont="1" applyBorder="1" applyAlignment="1">
      <alignment vertical="center"/>
    </xf>
    <xf numFmtId="2" fontId="30" fillId="0" borderId="66" xfId="0" applyNumberFormat="1" applyFont="1" applyBorder="1" applyAlignment="1">
      <alignment vertical="center"/>
    </xf>
    <xf numFmtId="0" fontId="2" fillId="8" borderId="7" xfId="0" applyFont="1" applyFill="1" applyBorder="1"/>
    <xf numFmtId="4" fontId="2" fillId="8" borderId="7" xfId="0" applyNumberFormat="1" applyFont="1" applyFill="1" applyBorder="1"/>
    <xf numFmtId="4" fontId="2" fillId="8" borderId="6" xfId="0" applyNumberFormat="1" applyFont="1" applyFill="1" applyBorder="1"/>
    <xf numFmtId="0" fontId="0" fillId="19" borderId="7" xfId="0" applyFill="1" applyBorder="1" applyAlignment="1">
      <alignment horizontal="center"/>
    </xf>
    <xf numFmtId="0" fontId="0" fillId="19" borderId="65" xfId="0" applyFill="1" applyBorder="1" applyAlignment="1">
      <alignment horizontal="center"/>
    </xf>
    <xf numFmtId="0" fontId="30" fillId="0" borderId="4" xfId="0" applyFont="1" applyBorder="1" applyAlignment="1">
      <alignment vertical="center"/>
    </xf>
    <xf numFmtId="2" fontId="30" fillId="0" borderId="50" xfId="0" applyNumberFormat="1" applyFont="1" applyBorder="1" applyAlignment="1">
      <alignment vertical="center"/>
    </xf>
    <xf numFmtId="0" fontId="2" fillId="19" borderId="58" xfId="0" applyFont="1" applyFill="1" applyBorder="1"/>
    <xf numFmtId="165" fontId="2" fillId="19" borderId="27" xfId="0" applyNumberFormat="1" applyFont="1" applyFill="1" applyBorder="1"/>
    <xf numFmtId="0" fontId="2" fillId="7" borderId="10" xfId="0" applyFont="1" applyFill="1" applyBorder="1"/>
    <xf numFmtId="165" fontId="2" fillId="7" borderId="4" xfId="0" applyNumberFormat="1" applyFont="1" applyFill="1" applyBorder="1"/>
    <xf numFmtId="165" fontId="2" fillId="7" borderId="1" xfId="0" applyNumberFormat="1" applyFont="1" applyFill="1" applyBorder="1"/>
    <xf numFmtId="3" fontId="0" fillId="0" borderId="66" xfId="0" applyNumberFormat="1" applyBorder="1"/>
    <xf numFmtId="0" fontId="9" fillId="0" borderId="29" xfId="0" applyFont="1" applyBorder="1" applyAlignment="1">
      <alignment vertical="center"/>
    </xf>
    <xf numFmtId="2" fontId="9" fillId="0" borderId="30" xfId="0" applyNumberFormat="1" applyFont="1" applyBorder="1" applyAlignment="1">
      <alignment vertical="center"/>
    </xf>
    <xf numFmtId="2" fontId="2" fillId="0" borderId="67" xfId="0" applyNumberFormat="1" applyFont="1" applyBorder="1" applyAlignment="1">
      <alignment horizontal="right" vertical="center"/>
    </xf>
    <xf numFmtId="0" fontId="2" fillId="4" borderId="16" xfId="0" applyFont="1" applyFill="1" applyBorder="1" applyAlignment="1">
      <alignment horizontal="center" vertical="center"/>
    </xf>
    <xf numFmtId="0" fontId="0" fillId="4" borderId="78" xfId="0" applyFill="1" applyBorder="1" applyAlignment="1">
      <alignment horizontal="center" vertical="center"/>
    </xf>
    <xf numFmtId="0" fontId="0" fillId="4" borderId="31" xfId="0" applyFill="1" applyBorder="1" applyAlignment="1">
      <alignment horizontal="center" vertical="center"/>
    </xf>
    <xf numFmtId="0" fontId="0" fillId="4" borderId="54" xfId="0" applyFill="1" applyBorder="1" applyAlignment="1">
      <alignment horizontal="center" vertical="center"/>
    </xf>
    <xf numFmtId="0" fontId="0" fillId="4" borderId="48" xfId="0" applyFill="1" applyBorder="1" applyAlignment="1">
      <alignment horizontal="center" vertical="center"/>
    </xf>
    <xf numFmtId="0" fontId="0" fillId="4" borderId="49" xfId="0" applyFill="1" applyBorder="1" applyAlignment="1">
      <alignment horizontal="center" vertical="center"/>
    </xf>
    <xf numFmtId="3" fontId="2" fillId="0" borderId="53" xfId="0" applyNumberFormat="1" applyFont="1" applyBorder="1"/>
    <xf numFmtId="3" fontId="2" fillId="0" borderId="54" xfId="0" applyNumberFormat="1" applyFont="1" applyBorder="1"/>
    <xf numFmtId="3" fontId="2" fillId="0" borderId="49" xfId="0" applyNumberFormat="1" applyFont="1" applyBorder="1"/>
    <xf numFmtId="0" fontId="2" fillId="3" borderId="11" xfId="0" applyFont="1" applyFill="1" applyBorder="1"/>
    <xf numFmtId="3" fontId="2" fillId="0" borderId="29" xfId="0" applyNumberFormat="1" applyFont="1" applyBorder="1"/>
    <xf numFmtId="0" fontId="0" fillId="16" borderId="12" xfId="0" applyFill="1" applyBorder="1"/>
    <xf numFmtId="0" fontId="0" fillId="16" borderId="10" xfId="0" applyFill="1" applyBorder="1"/>
    <xf numFmtId="4" fontId="0" fillId="0" borderId="29" xfId="0" applyNumberFormat="1" applyBorder="1"/>
    <xf numFmtId="3" fontId="0" fillId="0" borderId="1" xfId="0" applyNumberFormat="1" applyBorder="1" applyAlignment="1">
      <alignment vertical="center"/>
    </xf>
    <xf numFmtId="0" fontId="0" fillId="4" borderId="8" xfId="0" applyFill="1" applyBorder="1"/>
    <xf numFmtId="0" fontId="0" fillId="4" borderId="68" xfId="0" applyFill="1" applyBorder="1" applyAlignment="1">
      <alignment horizontal="center"/>
    </xf>
    <xf numFmtId="0" fontId="0" fillId="4" borderId="65" xfId="0" applyFill="1" applyBorder="1" applyAlignment="1">
      <alignment horizontal="center"/>
    </xf>
    <xf numFmtId="3" fontId="2" fillId="7" borderId="53" xfId="0" applyNumberFormat="1" applyFont="1" applyFill="1" applyBorder="1"/>
    <xf numFmtId="3" fontId="2" fillId="7" borderId="54" xfId="0" applyNumberFormat="1" applyFont="1" applyFill="1" applyBorder="1"/>
    <xf numFmtId="3" fontId="2" fillId="7" borderId="49" xfId="0" applyNumberFormat="1" applyFont="1" applyFill="1" applyBorder="1"/>
    <xf numFmtId="2" fontId="2" fillId="7" borderId="0" xfId="0" applyNumberFormat="1" applyFont="1" applyFill="1"/>
    <xf numFmtId="0" fontId="0" fillId="6" borderId="7" xfId="0" applyFill="1" applyBorder="1" applyAlignment="1">
      <alignment horizontal="left"/>
    </xf>
    <xf numFmtId="3" fontId="0" fillId="9" borderId="77" xfId="0" applyNumberFormat="1" applyFill="1" applyBorder="1"/>
    <xf numFmtId="3" fontId="0" fillId="9" borderId="76" xfId="0" applyNumberFormat="1" applyFill="1" applyBorder="1"/>
    <xf numFmtId="3" fontId="0" fillId="9" borderId="79" xfId="0" applyNumberFormat="1" applyFill="1" applyBorder="1"/>
    <xf numFmtId="3" fontId="0" fillId="9" borderId="23" xfId="0" applyNumberFormat="1" applyFill="1" applyBorder="1"/>
    <xf numFmtId="3" fontId="0" fillId="9" borderId="69" xfId="0" applyNumberFormat="1" applyFill="1" applyBorder="1"/>
    <xf numFmtId="0" fontId="0" fillId="0" borderId="10" xfId="0" applyBorder="1"/>
    <xf numFmtId="4" fontId="0" fillId="0" borderId="75" xfId="0" applyNumberFormat="1" applyBorder="1"/>
    <xf numFmtId="4" fontId="0" fillId="0" borderId="61" xfId="0" applyNumberFormat="1" applyBorder="1"/>
    <xf numFmtId="0" fontId="0" fillId="7" borderId="7" xfId="0" applyFill="1" applyBorder="1" applyAlignment="1">
      <alignment horizontal="left"/>
    </xf>
    <xf numFmtId="3" fontId="0" fillId="11" borderId="4" xfId="0" applyNumberFormat="1" applyFill="1" applyBorder="1"/>
    <xf numFmtId="3" fontId="0" fillId="11" borderId="50" xfId="0" applyNumberFormat="1" applyFill="1" applyBorder="1"/>
    <xf numFmtId="3" fontId="0" fillId="11" borderId="66" xfId="0" applyNumberFormat="1" applyFill="1" applyBorder="1"/>
    <xf numFmtId="3" fontId="2" fillId="7" borderId="29" xfId="0" applyNumberFormat="1" applyFont="1" applyFill="1" applyBorder="1"/>
    <xf numFmtId="3" fontId="2" fillId="7" borderId="5" xfId="0" applyNumberFormat="1" applyFont="1" applyFill="1" applyBorder="1"/>
    <xf numFmtId="3" fontId="2" fillId="7" borderId="18" xfId="0" applyNumberFormat="1" applyFont="1" applyFill="1" applyBorder="1"/>
    <xf numFmtId="0" fontId="0" fillId="12" borderId="57" xfId="0" applyFill="1" applyBorder="1"/>
    <xf numFmtId="3" fontId="0" fillId="10" borderId="29" xfId="0" applyNumberFormat="1" applyFill="1" applyBorder="1"/>
    <xf numFmtId="3" fontId="0" fillId="10" borderId="5" xfId="0" applyNumberFormat="1" applyFill="1" applyBorder="1"/>
    <xf numFmtId="3" fontId="0" fillId="10" borderId="50" xfId="0" applyNumberFormat="1" applyFill="1" applyBorder="1"/>
    <xf numFmtId="3" fontId="0" fillId="10" borderId="1" xfId="0" applyNumberFormat="1" applyFill="1" applyBorder="1"/>
    <xf numFmtId="3" fontId="0" fillId="10" borderId="42" xfId="0" applyNumberFormat="1" applyFill="1" applyBorder="1"/>
    <xf numFmtId="3" fontId="0" fillId="10" borderId="2" xfId="0" applyNumberFormat="1" applyFill="1" applyBorder="1"/>
    <xf numFmtId="3" fontId="0" fillId="10" borderId="66" xfId="0" applyNumberFormat="1" applyFill="1" applyBorder="1"/>
    <xf numFmtId="0" fontId="0" fillId="0" borderId="53" xfId="0" applyBorder="1" applyAlignment="1">
      <alignment horizontal="right"/>
    </xf>
    <xf numFmtId="2" fontId="0" fillId="0" borderId="49" xfId="0" applyNumberFormat="1" applyBorder="1"/>
    <xf numFmtId="170" fontId="0" fillId="0" borderId="0" xfId="0" applyNumberFormat="1"/>
    <xf numFmtId="2" fontId="0" fillId="3" borderId="57" xfId="0" applyNumberFormat="1" applyFill="1" applyBorder="1"/>
    <xf numFmtId="2" fontId="0" fillId="0" borderId="29" xfId="0" applyNumberFormat="1" applyBorder="1"/>
    <xf numFmtId="2" fontId="0" fillId="0" borderId="5" xfId="0" applyNumberFormat="1" applyBorder="1"/>
    <xf numFmtId="2" fontId="0" fillId="0" borderId="18" xfId="0" applyNumberFormat="1" applyBorder="1"/>
    <xf numFmtId="0" fontId="0" fillId="19" borderId="8" xfId="0" applyFill="1" applyBorder="1" applyAlignment="1">
      <alignment horizontal="center"/>
    </xf>
    <xf numFmtId="3" fontId="2" fillId="6" borderId="76" xfId="0" applyNumberFormat="1" applyFont="1" applyFill="1" applyBorder="1"/>
    <xf numFmtId="3" fontId="2" fillId="6" borderId="22" xfId="0" applyNumberFormat="1" applyFont="1" applyFill="1" applyBorder="1"/>
    <xf numFmtId="3" fontId="2" fillId="6" borderId="23" xfId="0" applyNumberFormat="1" applyFont="1" applyFill="1" applyBorder="1"/>
    <xf numFmtId="3" fontId="2" fillId="6" borderId="28" xfId="0" applyNumberFormat="1" applyFont="1" applyFill="1" applyBorder="1"/>
    <xf numFmtId="3" fontId="2" fillId="6" borderId="54" xfId="0" applyNumberFormat="1" applyFont="1" applyFill="1" applyBorder="1"/>
    <xf numFmtId="0" fontId="0" fillId="15" borderId="77" xfId="0" applyFill="1" applyBorder="1"/>
    <xf numFmtId="0" fontId="2" fillId="8" borderId="11" xfId="0" applyFont="1" applyFill="1" applyBorder="1"/>
    <xf numFmtId="165" fontId="2" fillId="8" borderId="0" xfId="0" applyNumberFormat="1" applyFont="1" applyFill="1"/>
    <xf numFmtId="4" fontId="0" fillId="0" borderId="66" xfId="0" applyNumberFormat="1" applyBorder="1"/>
    <xf numFmtId="2" fontId="15" fillId="0" borderId="5" xfId="0" applyNumberFormat="1" applyFont="1" applyBorder="1" applyAlignment="1">
      <alignment vertical="center"/>
    </xf>
    <xf numFmtId="0" fontId="2" fillId="6" borderId="14" xfId="0" applyFont="1" applyFill="1" applyBorder="1" applyAlignment="1">
      <alignment horizontal="center"/>
    </xf>
    <xf numFmtId="4" fontId="2" fillId="7" borderId="21" xfId="0" applyNumberFormat="1" applyFont="1" applyFill="1" applyBorder="1"/>
    <xf numFmtId="4" fontId="2" fillId="7" borderId="6" xfId="0" applyNumberFormat="1" applyFont="1" applyFill="1" applyBorder="1"/>
    <xf numFmtId="0" fontId="0" fillId="4" borderId="4" xfId="0" applyFill="1" applyBorder="1" applyAlignment="1">
      <alignment horizontal="center"/>
    </xf>
    <xf numFmtId="171" fontId="31" fillId="20" borderId="83" xfId="6" applyNumberFormat="1" applyFont="1" applyFill="1" applyBorder="1" applyAlignment="1">
      <alignment horizontal="right" vertical="center"/>
    </xf>
    <xf numFmtId="171" fontId="31" fillId="20" borderId="83" xfId="5" applyNumberFormat="1" applyFont="1" applyFill="1" applyBorder="1" applyAlignment="1">
      <alignment horizontal="right" vertical="center"/>
    </xf>
    <xf numFmtId="171" fontId="31" fillId="17" borderId="83" xfId="5" applyNumberFormat="1" applyFont="1" applyFill="1" applyBorder="1" applyAlignment="1">
      <alignment horizontal="right" vertical="center"/>
    </xf>
    <xf numFmtId="2" fontId="2" fillId="7" borderId="21" xfId="0" applyNumberFormat="1" applyFont="1" applyFill="1" applyBorder="1"/>
    <xf numFmtId="2" fontId="2" fillId="7" borderId="6" xfId="0" applyNumberFormat="1" applyFont="1" applyFill="1" applyBorder="1"/>
    <xf numFmtId="2" fontId="2" fillId="7" borderId="84" xfId="0" applyNumberFormat="1" applyFont="1" applyFill="1" applyBorder="1"/>
    <xf numFmtId="0" fontId="0" fillId="15" borderId="85" xfId="0" applyFill="1" applyBorder="1"/>
    <xf numFmtId="4" fontId="0" fillId="0" borderId="67" xfId="0" applyNumberFormat="1" applyBorder="1"/>
    <xf numFmtId="171" fontId="31" fillId="9" borderId="83" xfId="6" applyNumberFormat="1" applyFont="1" applyFill="1" applyBorder="1" applyAlignment="1">
      <alignment horizontal="right" vertical="center"/>
    </xf>
    <xf numFmtId="171" fontId="31" fillId="9" borderId="83" xfId="5" applyNumberFormat="1" applyFont="1" applyFill="1" applyBorder="1" applyAlignment="1">
      <alignment horizontal="right" vertical="center"/>
    </xf>
    <xf numFmtId="0" fontId="0" fillId="3" borderId="86" xfId="0" applyFill="1" applyBorder="1"/>
    <xf numFmtId="0" fontId="0" fillId="7" borderId="13" xfId="0" applyFill="1" applyBorder="1"/>
    <xf numFmtId="4" fontId="0" fillId="7" borderId="21" xfId="0" applyNumberFormat="1" applyFill="1" applyBorder="1"/>
    <xf numFmtId="4" fontId="0" fillId="7" borderId="13" xfId="0" applyNumberFormat="1" applyFill="1" applyBorder="1"/>
    <xf numFmtId="171" fontId="31" fillId="20" borderId="83" xfId="8" applyNumberFormat="1" applyFont="1" applyFill="1" applyBorder="1" applyAlignment="1">
      <alignment horizontal="right" vertical="center"/>
    </xf>
    <xf numFmtId="171" fontId="31" fillId="20" borderId="83" xfId="7" applyNumberFormat="1" applyFont="1" applyFill="1" applyBorder="1" applyAlignment="1">
      <alignment horizontal="right" vertical="center"/>
    </xf>
    <xf numFmtId="171" fontId="31" fillId="17" borderId="83" xfId="7" applyNumberFormat="1" applyFont="1" applyFill="1" applyBorder="1" applyAlignment="1">
      <alignment horizontal="right" vertical="center"/>
    </xf>
    <xf numFmtId="4" fontId="0" fillId="7" borderId="14" xfId="0" applyNumberFormat="1" applyFill="1" applyBorder="1"/>
    <xf numFmtId="171" fontId="31" fillId="20" borderId="87" xfId="8" applyNumberFormat="1" applyFont="1" applyFill="1" applyBorder="1" applyAlignment="1">
      <alignment horizontal="right" vertical="center"/>
    </xf>
    <xf numFmtId="171" fontId="31" fillId="20" borderId="87" xfId="7" applyNumberFormat="1" applyFont="1" applyFill="1" applyBorder="1" applyAlignment="1">
      <alignment horizontal="right" vertical="center"/>
    </xf>
    <xf numFmtId="171" fontId="31" fillId="17" borderId="87" xfId="7" applyNumberFormat="1" applyFont="1" applyFill="1" applyBorder="1" applyAlignment="1">
      <alignment horizontal="right" vertical="center"/>
    </xf>
    <xf numFmtId="0" fontId="2" fillId="3" borderId="53" xfId="0" applyFont="1" applyFill="1" applyBorder="1"/>
    <xf numFmtId="3" fontId="2" fillId="0" borderId="48" xfId="0" applyNumberFormat="1" applyFont="1" applyBorder="1"/>
    <xf numFmtId="3" fontId="2" fillId="0" borderId="62" xfId="0" applyNumberFormat="1" applyFont="1" applyBorder="1"/>
    <xf numFmtId="3" fontId="2" fillId="0" borderId="33" xfId="0" applyNumberFormat="1" applyFont="1" applyBorder="1"/>
    <xf numFmtId="3" fontId="2" fillId="0" borderId="67" xfId="0" applyNumberFormat="1" applyFont="1" applyBorder="1"/>
    <xf numFmtId="171" fontId="31" fillId="7" borderId="87" xfId="7" applyNumberFormat="1" applyFont="1" applyFill="1" applyBorder="1" applyAlignment="1">
      <alignment horizontal="right" vertical="center"/>
    </xf>
    <xf numFmtId="3" fontId="2" fillId="7" borderId="62" xfId="0" applyNumberFormat="1" applyFont="1" applyFill="1" applyBorder="1"/>
    <xf numFmtId="0" fontId="0" fillId="0" borderId="88" xfId="0" applyBorder="1"/>
    <xf numFmtId="4" fontId="0" fillId="0" borderId="89" xfId="0" applyNumberFormat="1" applyBorder="1"/>
    <xf numFmtId="4" fontId="0" fillId="0" borderId="90" xfId="0" applyNumberFormat="1" applyBorder="1"/>
    <xf numFmtId="4" fontId="0" fillId="0" borderId="23" xfId="0" applyNumberFormat="1" applyBorder="1"/>
    <xf numFmtId="0" fontId="2" fillId="7" borderId="88" xfId="0" applyFont="1" applyFill="1" applyBorder="1"/>
    <xf numFmtId="3" fontId="2" fillId="7" borderId="89" xfId="0" applyNumberFormat="1" applyFont="1" applyFill="1" applyBorder="1"/>
    <xf numFmtId="3" fontId="2" fillId="7" borderId="90" xfId="0" applyNumberFormat="1" applyFont="1" applyFill="1" applyBorder="1"/>
    <xf numFmtId="3" fontId="2" fillId="7" borderId="66" xfId="0" applyNumberFormat="1" applyFont="1" applyFill="1" applyBorder="1"/>
    <xf numFmtId="0" fontId="0" fillId="0" borderId="89" xfId="0" applyBorder="1" applyAlignment="1">
      <alignment horizontal="right"/>
    </xf>
    <xf numFmtId="2" fontId="0" fillId="0" borderId="69" xfId="0" applyNumberFormat="1" applyBorder="1"/>
    <xf numFmtId="2" fontId="0" fillId="0" borderId="89" xfId="0" applyNumberFormat="1" applyBorder="1"/>
    <xf numFmtId="2" fontId="0" fillId="0" borderId="90" xfId="0" applyNumberFormat="1" applyBorder="1"/>
    <xf numFmtId="2" fontId="0" fillId="0" borderId="91" xfId="0" applyNumberFormat="1" applyBorder="1"/>
    <xf numFmtId="2" fontId="0" fillId="0" borderId="92" xfId="0" applyNumberFormat="1" applyBorder="1"/>
    <xf numFmtId="2" fontId="0" fillId="0" borderId="93" xfId="0" applyNumberFormat="1" applyBorder="1"/>
    <xf numFmtId="2" fontId="0" fillId="0" borderId="94" xfId="0" applyNumberFormat="1" applyBorder="1"/>
    <xf numFmtId="3" fontId="2" fillId="6" borderId="8" xfId="0" applyNumberFormat="1" applyFont="1" applyFill="1" applyBorder="1"/>
    <xf numFmtId="3" fontId="2" fillId="6" borderId="24" xfId="0" applyNumberFormat="1" applyFont="1" applyFill="1" applyBorder="1"/>
    <xf numFmtId="3" fontId="2" fillId="6" borderId="25" xfId="0" applyNumberFormat="1" applyFont="1" applyFill="1" applyBorder="1"/>
    <xf numFmtId="3" fontId="2" fillId="6" borderId="65" xfId="0" applyNumberFormat="1" applyFont="1" applyFill="1" applyBorder="1"/>
    <xf numFmtId="3" fontId="2" fillId="0" borderId="76" xfId="0" applyNumberFormat="1" applyFont="1" applyBorder="1"/>
    <xf numFmtId="0" fontId="2" fillId="3" borderId="10" xfId="0" applyFont="1" applyFill="1" applyBorder="1"/>
    <xf numFmtId="3" fontId="2" fillId="0" borderId="91" xfId="0" applyNumberFormat="1" applyFont="1" applyBorder="1"/>
    <xf numFmtId="3" fontId="2" fillId="0" borderId="95" xfId="0" applyNumberFormat="1" applyFont="1" applyBorder="1"/>
    <xf numFmtId="3" fontId="2" fillId="0" borderId="93" xfId="0" applyNumberFormat="1" applyFont="1" applyBorder="1"/>
    <xf numFmtId="4" fontId="0" fillId="0" borderId="95" xfId="0" applyNumberFormat="1" applyBorder="1"/>
    <xf numFmtId="4" fontId="0" fillId="0" borderId="93" xfId="0" applyNumberFormat="1" applyBorder="1"/>
    <xf numFmtId="4" fontId="0" fillId="0" borderId="94" xfId="0" applyNumberFormat="1" applyBorder="1"/>
    <xf numFmtId="3" fontId="2" fillId="7" borderId="55" xfId="0" applyNumberFormat="1" applyFont="1" applyFill="1" applyBorder="1"/>
    <xf numFmtId="4" fontId="0" fillId="0" borderId="76" xfId="0" applyNumberFormat="1" applyBorder="1"/>
    <xf numFmtId="4" fontId="0" fillId="0" borderId="2" xfId="0" applyNumberFormat="1" applyBorder="1"/>
    <xf numFmtId="165" fontId="0" fillId="0" borderId="28" xfId="0" applyNumberFormat="1" applyBorder="1"/>
    <xf numFmtId="2" fontId="0" fillId="0" borderId="96" xfId="0" applyNumberFormat="1" applyBorder="1"/>
    <xf numFmtId="2" fontId="0" fillId="0" borderId="95" xfId="0" applyNumberFormat="1" applyBorder="1"/>
    <xf numFmtId="3" fontId="2" fillId="6" borderId="26" xfId="0" applyNumberFormat="1" applyFont="1" applyFill="1" applyBorder="1"/>
    <xf numFmtId="0" fontId="0" fillId="8" borderId="13" xfId="0" applyFill="1" applyBorder="1"/>
    <xf numFmtId="2" fontId="2" fillId="8" borderId="97" xfId="0" applyNumberFormat="1" applyFont="1" applyFill="1" applyBorder="1"/>
    <xf numFmtId="2" fontId="2" fillId="8" borderId="17" xfId="0" applyNumberFormat="1" applyFont="1" applyFill="1" applyBorder="1"/>
    <xf numFmtId="2" fontId="2" fillId="8" borderId="6" xfId="0" applyNumberFormat="1" applyFont="1" applyFill="1" applyBorder="1"/>
    <xf numFmtId="4" fontId="2" fillId="8" borderId="17" xfId="0" applyNumberFormat="1" applyFont="1" applyFill="1" applyBorder="1"/>
    <xf numFmtId="4" fontId="2" fillId="8" borderId="84" xfId="0" applyNumberFormat="1" applyFont="1" applyFill="1" applyBorder="1"/>
    <xf numFmtId="0" fontId="0" fillId="4" borderId="98" xfId="0" applyFill="1" applyBorder="1" applyAlignment="1">
      <alignment horizontal="center"/>
    </xf>
    <xf numFmtId="0" fontId="0" fillId="4" borderId="6" xfId="0" applyFill="1" applyBorder="1" applyAlignment="1">
      <alignment horizontal="center"/>
    </xf>
    <xf numFmtId="0" fontId="0" fillId="4" borderId="99" xfId="0" applyFill="1" applyBorder="1" applyAlignment="1">
      <alignment horizontal="center"/>
    </xf>
    <xf numFmtId="4" fontId="0" fillId="0" borderId="56" xfId="0" applyNumberFormat="1" applyBorder="1"/>
    <xf numFmtId="0" fontId="0" fillId="3" borderId="88" xfId="0" applyFill="1" applyBorder="1"/>
    <xf numFmtId="4" fontId="0" fillId="0" borderId="96" xfId="0" applyNumberFormat="1" applyBorder="1"/>
    <xf numFmtId="4" fontId="0" fillId="0" borderId="100" xfId="0" applyNumberFormat="1" applyBorder="1"/>
    <xf numFmtId="4" fontId="0" fillId="7" borderId="8" xfId="0" applyNumberFormat="1" applyFill="1" applyBorder="1"/>
    <xf numFmtId="4" fontId="0" fillId="7" borderId="24" xfId="0" applyNumberFormat="1" applyFill="1" applyBorder="1"/>
    <xf numFmtId="4" fontId="0" fillId="7" borderId="65" xfId="0" applyNumberFormat="1" applyFill="1" applyBorder="1"/>
    <xf numFmtId="2" fontId="0" fillId="0" borderId="55" xfId="0" applyNumberFormat="1" applyBorder="1"/>
    <xf numFmtId="2" fontId="0" fillId="0" borderId="56" xfId="0" applyNumberFormat="1" applyBorder="1"/>
    <xf numFmtId="2" fontId="0" fillId="0" borderId="30" xfId="0" applyNumberFormat="1" applyBorder="1"/>
    <xf numFmtId="2" fontId="0" fillId="0" borderId="32" xfId="0" applyNumberFormat="1" applyBorder="1"/>
    <xf numFmtId="2" fontId="0" fillId="7" borderId="21" xfId="0" applyNumberFormat="1" applyFill="1" applyBorder="1"/>
    <xf numFmtId="2" fontId="0" fillId="7" borderId="24" xfId="0" applyNumberFormat="1" applyFill="1" applyBorder="1"/>
    <xf numFmtId="2" fontId="0" fillId="7" borderId="65" xfId="0" applyNumberFormat="1" applyFill="1" applyBorder="1"/>
    <xf numFmtId="0" fontId="0" fillId="4" borderId="75" xfId="0" applyFill="1" applyBorder="1" applyAlignment="1">
      <alignment horizontal="center"/>
    </xf>
    <xf numFmtId="0" fontId="32" fillId="0" borderId="0" xfId="0" applyFont="1"/>
    <xf numFmtId="0" fontId="0" fillId="4" borderId="60" xfId="0" applyFill="1" applyBorder="1" applyAlignment="1">
      <alignment horizontal="center"/>
    </xf>
    <xf numFmtId="0" fontId="0" fillId="4" borderId="101" xfId="0" applyFill="1" applyBorder="1" applyAlignment="1">
      <alignment horizontal="center"/>
    </xf>
    <xf numFmtId="0" fontId="0" fillId="16" borderId="58" xfId="0" applyFill="1" applyBorder="1"/>
    <xf numFmtId="2" fontId="0" fillId="0" borderId="21" xfId="0" applyNumberFormat="1" applyBorder="1"/>
    <xf numFmtId="2" fontId="0" fillId="0" borderId="6" xfId="0" applyNumberFormat="1" applyBorder="1"/>
    <xf numFmtId="2" fontId="0" fillId="0" borderId="17" xfId="0" applyNumberFormat="1" applyBorder="1"/>
    <xf numFmtId="2" fontId="0" fillId="0" borderId="84" xfId="0" applyNumberFormat="1" applyBorder="1"/>
    <xf numFmtId="3" fontId="2" fillId="7" borderId="77" xfId="0" applyNumberFormat="1" applyFont="1" applyFill="1" applyBorder="1"/>
    <xf numFmtId="3" fontId="2" fillId="7" borderId="22" xfId="0" applyNumberFormat="1" applyFont="1" applyFill="1" applyBorder="1"/>
    <xf numFmtId="3" fontId="2" fillId="7" borderId="23" xfId="0" applyNumberFormat="1" applyFont="1" applyFill="1" applyBorder="1"/>
    <xf numFmtId="3" fontId="2" fillId="7" borderId="69" xfId="0" applyNumberFormat="1" applyFont="1" applyFill="1" applyBorder="1"/>
    <xf numFmtId="4" fontId="2" fillId="0" borderId="4" xfId="0" applyNumberFormat="1" applyFont="1" applyBorder="1"/>
    <xf numFmtId="4" fontId="2" fillId="0" borderId="57" xfId="0" applyNumberFormat="1" applyFont="1" applyBorder="1"/>
    <xf numFmtId="4" fontId="2" fillId="0" borderId="1" xfId="0" applyNumberFormat="1" applyFont="1" applyBorder="1"/>
    <xf numFmtId="4" fontId="2" fillId="0" borderId="2" xfId="0" applyNumberFormat="1" applyFont="1" applyBorder="1"/>
    <xf numFmtId="4" fontId="2" fillId="0" borderId="66" xfId="0" applyNumberFormat="1" applyFont="1" applyBorder="1"/>
    <xf numFmtId="3" fontId="2" fillId="7" borderId="4" xfId="0" applyNumberFormat="1" applyFont="1" applyFill="1" applyBorder="1"/>
    <xf numFmtId="0" fontId="2" fillId="4" borderId="16" xfId="0" applyFont="1" applyFill="1" applyBorder="1" applyAlignment="1">
      <alignment horizontal="center"/>
    </xf>
    <xf numFmtId="0" fontId="0" fillId="4" borderId="78" xfId="0" applyFill="1" applyBorder="1" applyAlignment="1">
      <alignment horizontal="center"/>
    </xf>
    <xf numFmtId="0" fontId="0" fillId="3" borderId="53" xfId="0" applyFill="1" applyBorder="1"/>
    <xf numFmtId="0" fontId="0" fillId="3" borderId="29" xfId="0" applyFill="1" applyBorder="1"/>
    <xf numFmtId="165" fontId="0" fillId="0" borderId="89" xfId="0" applyNumberFormat="1" applyBorder="1"/>
    <xf numFmtId="4" fontId="2" fillId="0" borderId="75" xfId="0" applyNumberFormat="1" applyFont="1" applyBorder="1"/>
    <xf numFmtId="4" fontId="2" fillId="0" borderId="61" xfId="0" applyNumberFormat="1" applyFont="1" applyBorder="1"/>
    <xf numFmtId="165" fontId="0" fillId="7" borderId="89" xfId="0" applyNumberFormat="1" applyFill="1" applyBorder="1"/>
    <xf numFmtId="4" fontId="0" fillId="0" borderId="88" xfId="0" applyNumberFormat="1" applyBorder="1"/>
    <xf numFmtId="2" fontId="0" fillId="0" borderId="35" xfId="0" applyNumberFormat="1" applyBorder="1"/>
    <xf numFmtId="2" fontId="0" fillId="0" borderId="11" xfId="0" applyNumberFormat="1" applyBorder="1"/>
    <xf numFmtId="2" fontId="0" fillId="7" borderId="14" xfId="0" applyNumberFormat="1" applyFill="1" applyBorder="1"/>
    <xf numFmtId="0" fontId="0" fillId="4" borderId="84" xfId="0" applyFill="1" applyBorder="1" applyAlignment="1">
      <alignment horizontal="center"/>
    </xf>
    <xf numFmtId="4" fontId="0" fillId="0" borderId="11" xfId="0" applyNumberFormat="1" applyBorder="1"/>
    <xf numFmtId="3" fontId="2" fillId="0" borderId="55" xfId="0" applyNumberFormat="1" applyFont="1" applyBorder="1"/>
    <xf numFmtId="3" fontId="2" fillId="0" borderId="30" xfId="0" applyNumberFormat="1" applyFont="1" applyBorder="1"/>
    <xf numFmtId="2" fontId="0" fillId="0" borderId="59" xfId="0" applyNumberFormat="1" applyBorder="1"/>
    <xf numFmtId="2" fontId="0" fillId="0" borderId="98" xfId="0" applyNumberFormat="1" applyBorder="1"/>
    <xf numFmtId="2" fontId="0" fillId="0" borderId="97" xfId="0" applyNumberFormat="1" applyBorder="1"/>
    <xf numFmtId="3" fontId="2" fillId="7" borderId="76" xfId="0" applyNumberFormat="1" applyFont="1" applyFill="1" applyBorder="1"/>
    <xf numFmtId="4" fontId="2" fillId="0" borderId="89" xfId="0" applyNumberFormat="1" applyFont="1" applyBorder="1"/>
    <xf numFmtId="4" fontId="2" fillId="8" borderId="26" xfId="0" applyNumberFormat="1" applyFont="1" applyFill="1" applyBorder="1"/>
    <xf numFmtId="3" fontId="2" fillId="0" borderId="79" xfId="0" applyNumberFormat="1" applyFont="1" applyBorder="1"/>
    <xf numFmtId="0" fontId="0" fillId="3" borderId="11" xfId="0" applyFill="1" applyBorder="1"/>
    <xf numFmtId="4" fontId="0" fillId="0" borderId="48" xfId="0" applyNumberFormat="1" applyBorder="1"/>
    <xf numFmtId="2" fontId="0" fillId="0" borderId="48" xfId="0" applyNumberFormat="1" applyBorder="1"/>
    <xf numFmtId="4" fontId="0" fillId="0" borderId="70" xfId="0" applyNumberFormat="1" applyBorder="1"/>
    <xf numFmtId="4" fontId="0" fillId="0" borderId="33" xfId="0" applyNumberFormat="1" applyBorder="1"/>
    <xf numFmtId="2" fontId="0" fillId="0" borderId="74" xfId="0" applyNumberFormat="1" applyBorder="1"/>
    <xf numFmtId="3" fontId="2" fillId="7" borderId="59" xfId="0" applyNumberFormat="1" applyFont="1" applyFill="1" applyBorder="1"/>
    <xf numFmtId="3" fontId="2" fillId="7" borderId="48" xfId="0" applyNumberFormat="1" applyFont="1" applyFill="1" applyBorder="1"/>
    <xf numFmtId="4" fontId="2" fillId="0" borderId="90" xfId="0" applyNumberFormat="1" applyFont="1" applyBorder="1"/>
    <xf numFmtId="2" fontId="0" fillId="0" borderId="79" xfId="0" applyNumberFormat="1" applyBorder="1"/>
    <xf numFmtId="2" fontId="0" fillId="0" borderId="57" xfId="0" applyNumberFormat="1" applyBorder="1"/>
    <xf numFmtId="2" fontId="0" fillId="0" borderId="70" xfId="0" applyNumberFormat="1" applyBorder="1"/>
    <xf numFmtId="3" fontId="2" fillId="6" borderId="33" xfId="0" applyNumberFormat="1" applyFont="1" applyFill="1" applyBorder="1"/>
    <xf numFmtId="165" fontId="0" fillId="0" borderId="4" xfId="0" applyNumberFormat="1" applyBorder="1"/>
    <xf numFmtId="165" fontId="0" fillId="0" borderId="1" xfId="0" applyNumberFormat="1" applyBorder="1"/>
    <xf numFmtId="165" fontId="0" fillId="0" borderId="2" xfId="0" applyNumberFormat="1" applyBorder="1"/>
    <xf numFmtId="4" fontId="2" fillId="8" borderId="68" xfId="0" applyNumberFormat="1" applyFont="1" applyFill="1" applyBorder="1"/>
    <xf numFmtId="0" fontId="0" fillId="3" borderId="16" xfId="0" applyFill="1" applyBorder="1"/>
    <xf numFmtId="165" fontId="0" fillId="0" borderId="96" xfId="0" applyNumberFormat="1" applyBorder="1"/>
    <xf numFmtId="165" fontId="0" fillId="0" borderId="95" xfId="0" applyNumberFormat="1" applyBorder="1"/>
    <xf numFmtId="165" fontId="0" fillId="0" borderId="93" xfId="0" applyNumberFormat="1" applyBorder="1"/>
    <xf numFmtId="0" fontId="2" fillId="3" borderId="13" xfId="0" applyFont="1" applyFill="1" applyBorder="1"/>
    <xf numFmtId="165" fontId="2" fillId="0" borderId="26" xfId="0" applyNumberFormat="1" applyFont="1" applyBorder="1"/>
    <xf numFmtId="165" fontId="2" fillId="0" borderId="24" xfId="0" applyNumberFormat="1" applyFont="1" applyBorder="1"/>
    <xf numFmtId="165" fontId="2" fillId="0" borderId="25" xfId="0" applyNumberFormat="1" applyFont="1" applyBorder="1"/>
    <xf numFmtId="165" fontId="2" fillId="0" borderId="28" xfId="0" applyNumberFormat="1" applyFont="1" applyBorder="1"/>
    <xf numFmtId="0" fontId="0" fillId="6" borderId="13" xfId="0" applyFill="1" applyBorder="1"/>
    <xf numFmtId="165" fontId="0" fillId="6" borderId="26" xfId="0" applyNumberFormat="1" applyFill="1" applyBorder="1"/>
    <xf numFmtId="165" fontId="0" fillId="6" borderId="24" xfId="0" applyNumberFormat="1" applyFill="1" applyBorder="1"/>
    <xf numFmtId="165" fontId="0" fillId="6" borderId="25" xfId="0" applyNumberFormat="1" applyFill="1" applyBorder="1"/>
    <xf numFmtId="165" fontId="0" fillId="6" borderId="17" xfId="0" applyNumberFormat="1" applyFill="1" applyBorder="1"/>
    <xf numFmtId="165" fontId="0" fillId="0" borderId="15" xfId="0" applyNumberFormat="1" applyBorder="1"/>
    <xf numFmtId="165" fontId="0" fillId="0" borderId="90" xfId="0" applyNumberFormat="1" applyBorder="1"/>
    <xf numFmtId="0" fontId="0" fillId="5" borderId="88" xfId="0" applyFill="1" applyBorder="1"/>
    <xf numFmtId="165" fontId="0" fillId="0" borderId="91" xfId="0" applyNumberFormat="1" applyBorder="1"/>
    <xf numFmtId="165" fontId="0" fillId="0" borderId="92" xfId="0" applyNumberFormat="1" applyBorder="1"/>
    <xf numFmtId="165" fontId="0" fillId="6" borderId="68" xfId="0" applyNumberFormat="1" applyFill="1" applyBorder="1"/>
    <xf numFmtId="3" fontId="0" fillId="0" borderId="89" xfId="0" applyNumberFormat="1" applyBorder="1"/>
    <xf numFmtId="3" fontId="0" fillId="0" borderId="90" xfId="0" applyNumberFormat="1" applyBorder="1"/>
    <xf numFmtId="3" fontId="0" fillId="9" borderId="102" xfId="0" applyNumberFormat="1" applyFill="1" applyBorder="1"/>
    <xf numFmtId="3" fontId="0" fillId="11" borderId="103" xfId="0" applyNumberFormat="1" applyFill="1" applyBorder="1"/>
    <xf numFmtId="3" fontId="0" fillId="10" borderId="32" xfId="0" applyNumberFormat="1" applyFill="1" applyBorder="1"/>
    <xf numFmtId="0" fontId="0" fillId="0" borderId="66" xfId="0" applyBorder="1"/>
    <xf numFmtId="165" fontId="0" fillId="0" borderId="5" xfId="0" applyNumberFormat="1" applyBorder="1"/>
    <xf numFmtId="0" fontId="0" fillId="0" borderId="67" xfId="0" applyBorder="1"/>
    <xf numFmtId="4" fontId="2" fillId="0" borderId="92" xfId="0" applyNumberFormat="1" applyFont="1" applyBorder="1"/>
    <xf numFmtId="4" fontId="2" fillId="0" borderId="93" xfId="0" applyNumberFormat="1" applyFont="1" applyBorder="1"/>
    <xf numFmtId="4" fontId="2" fillId="0" borderId="95" xfId="0" applyNumberFormat="1" applyFont="1" applyBorder="1"/>
    <xf numFmtId="4" fontId="2" fillId="0" borderId="27" xfId="0" applyNumberFormat="1" applyFont="1" applyBorder="1"/>
    <xf numFmtId="0" fontId="0" fillId="0" borderId="1" xfId="0" applyBorder="1"/>
    <xf numFmtId="4" fontId="0" fillId="0" borderId="0" xfId="0" applyNumberFormat="1" applyAlignment="1">
      <alignment horizontal="left"/>
    </xf>
    <xf numFmtId="0" fontId="2" fillId="3" borderId="88" xfId="0" applyFont="1" applyFill="1" applyBorder="1"/>
    <xf numFmtId="3" fontId="2" fillId="0" borderId="96" xfId="0" applyNumberFormat="1" applyFont="1" applyBorder="1"/>
    <xf numFmtId="0" fontId="0" fillId="0" borderId="95" xfId="0" applyBorder="1"/>
    <xf numFmtId="4" fontId="2" fillId="4" borderId="0" xfId="0" applyNumberFormat="1" applyFont="1" applyFill="1"/>
    <xf numFmtId="0" fontId="2" fillId="4" borderId="0" xfId="0" applyFont="1" applyFill="1"/>
    <xf numFmtId="4" fontId="2" fillId="4" borderId="0" xfId="0" applyNumberFormat="1" applyFont="1" applyFill="1" applyAlignment="1">
      <alignment horizontal="left"/>
    </xf>
    <xf numFmtId="2" fontId="2" fillId="4" borderId="0" xfId="0" applyNumberFormat="1" applyFont="1" applyFill="1"/>
    <xf numFmtId="0" fontId="0" fillId="4" borderId="0" xfId="0" applyFill="1" applyAlignment="1">
      <alignment horizontal="left"/>
    </xf>
    <xf numFmtId="4" fontId="0" fillId="4" borderId="0" xfId="0" applyNumberFormat="1" applyFill="1"/>
    <xf numFmtId="4" fontId="0" fillId="4" borderId="0" xfId="0" applyNumberFormat="1" applyFill="1" applyAlignment="1">
      <alignment horizontal="left"/>
    </xf>
    <xf numFmtId="0" fontId="5" fillId="0" borderId="0" xfId="8"/>
    <xf numFmtId="0" fontId="0" fillId="7" borderId="88" xfId="0" applyFill="1" applyBorder="1"/>
    <xf numFmtId="3" fontId="2" fillId="7" borderId="67" xfId="0" applyNumberFormat="1" applyFont="1" applyFill="1" applyBorder="1"/>
    <xf numFmtId="2" fontId="0" fillId="0" borderId="33" xfId="0" applyNumberFormat="1" applyBorder="1"/>
    <xf numFmtId="2" fontId="2" fillId="8" borderId="8" xfId="0" applyNumberFormat="1" applyFont="1" applyFill="1" applyBorder="1"/>
    <xf numFmtId="2" fontId="2" fillId="8" borderId="84" xfId="0" applyNumberFormat="1" applyFont="1" applyFill="1" applyBorder="1"/>
    <xf numFmtId="0" fontId="0" fillId="0" borderId="22" xfId="0" applyBorder="1"/>
    <xf numFmtId="2" fontId="0" fillId="0" borderId="0" xfId="0" applyNumberFormat="1" applyAlignment="1">
      <alignment horizontal="center"/>
    </xf>
    <xf numFmtId="2" fontId="0" fillId="0" borderId="0" xfId="0" applyNumberFormat="1" applyAlignment="1">
      <alignment horizontal="right"/>
    </xf>
    <xf numFmtId="3" fontId="2" fillId="0" borderId="89" xfId="0" applyNumberFormat="1" applyFont="1" applyBorder="1"/>
    <xf numFmtId="0" fontId="0" fillId="7" borderId="71" xfId="0" applyFill="1" applyBorder="1"/>
    <xf numFmtId="2" fontId="0" fillId="7" borderId="8" xfId="0" applyNumberFormat="1" applyFill="1" applyBorder="1"/>
    <xf numFmtId="4" fontId="2" fillId="7" borderId="8" xfId="0" applyNumberFormat="1" applyFont="1" applyFill="1" applyBorder="1"/>
    <xf numFmtId="4" fontId="2" fillId="7" borderId="13" xfId="0" applyNumberFormat="1" applyFont="1" applyFill="1" applyBorder="1"/>
    <xf numFmtId="2" fontId="2" fillId="7" borderId="8" xfId="0" applyNumberFormat="1" applyFont="1" applyFill="1" applyBorder="1"/>
    <xf numFmtId="2" fontId="2" fillId="7" borderId="13" xfId="0" applyNumberFormat="1" applyFont="1" applyFill="1" applyBorder="1"/>
    <xf numFmtId="4" fontId="2" fillId="7" borderId="14" xfId="0" applyNumberFormat="1" applyFont="1" applyFill="1" applyBorder="1"/>
    <xf numFmtId="3" fontId="2" fillId="6" borderId="13" xfId="0" applyNumberFormat="1" applyFont="1" applyFill="1" applyBorder="1"/>
    <xf numFmtId="3" fontId="2" fillId="0" borderId="56" xfId="0" applyNumberFormat="1" applyFont="1" applyBorder="1"/>
    <xf numFmtId="3" fontId="2" fillId="0" borderId="32" xfId="0" applyNumberFormat="1" applyFont="1" applyBorder="1"/>
    <xf numFmtId="0" fontId="2" fillId="17" borderId="13" xfId="0" applyFont="1" applyFill="1" applyBorder="1"/>
    <xf numFmtId="4" fontId="2" fillId="17" borderId="13" xfId="0" applyNumberFormat="1" applyFont="1" applyFill="1" applyBorder="1"/>
    <xf numFmtId="4" fontId="0" fillId="0" borderId="28" xfId="0" applyNumberFormat="1" applyBorder="1"/>
    <xf numFmtId="0" fontId="0" fillId="7" borderId="35" xfId="0" applyFill="1" applyBorder="1"/>
    <xf numFmtId="3" fontId="2" fillId="7" borderId="32" xfId="0" applyNumberFormat="1" applyFont="1" applyFill="1" applyBorder="1"/>
    <xf numFmtId="0" fontId="2" fillId="11" borderId="13" xfId="0" applyFont="1" applyFill="1" applyBorder="1"/>
    <xf numFmtId="4" fontId="2" fillId="11" borderId="13" xfId="0" applyNumberFormat="1" applyFont="1" applyFill="1" applyBorder="1"/>
    <xf numFmtId="3" fontId="2" fillId="6" borderId="64" xfId="0" applyNumberFormat="1" applyFont="1" applyFill="1" applyBorder="1"/>
    <xf numFmtId="3" fontId="2" fillId="11" borderId="10" xfId="0" applyNumberFormat="1" applyFont="1" applyFill="1" applyBorder="1"/>
    <xf numFmtId="3" fontId="2" fillId="11" borderId="0" xfId="0" applyNumberFormat="1" applyFont="1" applyFill="1"/>
    <xf numFmtId="0" fontId="0" fillId="6" borderId="98" xfId="0" applyFill="1" applyBorder="1"/>
    <xf numFmtId="2" fontId="2" fillId="6" borderId="20" xfId="0" applyNumberFormat="1" applyFont="1" applyFill="1" applyBorder="1" applyAlignment="1">
      <alignment horizontal="right"/>
    </xf>
    <xf numFmtId="2" fontId="2" fillId="6" borderId="31" xfId="0" applyNumberFormat="1" applyFont="1" applyFill="1" applyBorder="1" applyAlignment="1">
      <alignment horizontal="right"/>
    </xf>
    <xf numFmtId="0" fontId="26" fillId="0" borderId="0" xfId="0" applyFont="1" applyAlignment="1">
      <alignment horizontal="center"/>
    </xf>
    <xf numFmtId="0" fontId="0" fillId="6" borderId="58" xfId="0" applyFill="1" applyBorder="1"/>
    <xf numFmtId="3" fontId="2" fillId="6" borderId="53" xfId="0" applyNumberFormat="1" applyFont="1" applyFill="1" applyBorder="1"/>
    <xf numFmtId="3" fontId="2" fillId="6" borderId="62" xfId="0" applyNumberFormat="1" applyFont="1" applyFill="1" applyBorder="1"/>
    <xf numFmtId="0" fontId="0" fillId="8" borderId="10" xfId="0" applyFill="1" applyBorder="1"/>
    <xf numFmtId="3" fontId="2" fillId="8" borderId="4" xfId="0" applyNumberFormat="1" applyFont="1" applyFill="1" applyBorder="1"/>
    <xf numFmtId="3" fontId="2" fillId="8" borderId="10" xfId="0" applyNumberFormat="1" applyFont="1" applyFill="1" applyBorder="1"/>
    <xf numFmtId="0" fontId="2" fillId="11" borderId="10" xfId="0" applyFont="1" applyFill="1" applyBorder="1"/>
    <xf numFmtId="3" fontId="2" fillId="11" borderId="4" xfId="0" applyNumberFormat="1" applyFont="1" applyFill="1" applyBorder="1"/>
    <xf numFmtId="0" fontId="2" fillId="18" borderId="11" xfId="0" applyFont="1" applyFill="1" applyBorder="1"/>
    <xf numFmtId="4" fontId="2" fillId="18" borderId="29" xfId="0" applyNumberFormat="1" applyFont="1" applyFill="1" applyBorder="1"/>
    <xf numFmtId="4" fontId="2" fillId="18" borderId="11" xfId="0" applyNumberFormat="1" applyFont="1" applyFill="1" applyBorder="1"/>
    <xf numFmtId="0" fontId="2" fillId="7" borderId="13" xfId="0" applyFont="1" applyFill="1" applyBorder="1"/>
    <xf numFmtId="0" fontId="0" fillId="6" borderId="35" xfId="0" applyFill="1" applyBorder="1"/>
    <xf numFmtId="0" fontId="0" fillId="4" borderId="71" xfId="0" applyFill="1" applyBorder="1" applyAlignment="1">
      <alignment horizontal="center"/>
    </xf>
    <xf numFmtId="3" fontId="2" fillId="8" borderId="35" xfId="0" applyNumberFormat="1" applyFont="1" applyFill="1" applyBorder="1"/>
    <xf numFmtId="0" fontId="0" fillId="8" borderId="88" xfId="0" applyFill="1" applyBorder="1"/>
    <xf numFmtId="3" fontId="2" fillId="8" borderId="96" xfId="0" applyNumberFormat="1" applyFont="1" applyFill="1" applyBorder="1"/>
    <xf numFmtId="3" fontId="2" fillId="8" borderId="88" xfId="0" applyNumberFormat="1" applyFont="1" applyFill="1" applyBorder="1"/>
    <xf numFmtId="4" fontId="2" fillId="18" borderId="8" xfId="0" applyNumberFormat="1" applyFont="1" applyFill="1" applyBorder="1"/>
    <xf numFmtId="4" fontId="2" fillId="18" borderId="13" xfId="0" applyNumberFormat="1" applyFont="1" applyFill="1" applyBorder="1"/>
    <xf numFmtId="2" fontId="0" fillId="0" borderId="103" xfId="0" applyNumberFormat="1" applyBorder="1"/>
    <xf numFmtId="2" fontId="0" fillId="0" borderId="100" xfId="0" applyNumberFormat="1" applyBorder="1"/>
    <xf numFmtId="3" fontId="2" fillId="6" borderId="68" xfId="0" applyNumberFormat="1" applyFont="1" applyFill="1" applyBorder="1"/>
    <xf numFmtId="4" fontId="2" fillId="8" borderId="13" xfId="0" applyNumberFormat="1" applyFont="1" applyFill="1" applyBorder="1"/>
    <xf numFmtId="4" fontId="0" fillId="0" borderId="77" xfId="0" applyNumberFormat="1" applyBorder="1"/>
    <xf numFmtId="0" fontId="0" fillId="3" borderId="12" xfId="0" applyFill="1" applyBorder="1"/>
    <xf numFmtId="2" fontId="0" fillId="0" borderId="88" xfId="0" applyNumberFormat="1" applyBorder="1"/>
    <xf numFmtId="0" fontId="23" fillId="0" borderId="0" xfId="0" applyFont="1"/>
    <xf numFmtId="0" fontId="2" fillId="22" borderId="68" xfId="0" applyFont="1" applyFill="1" applyBorder="1" applyAlignment="1">
      <alignment horizontal="center"/>
    </xf>
    <xf numFmtId="0" fontId="2" fillId="0" borderId="13" xfId="0" applyFont="1" applyBorder="1" applyAlignment="1">
      <alignment horizontal="center" wrapText="1"/>
    </xf>
    <xf numFmtId="0" fontId="2" fillId="0" borderId="16" xfId="0" applyFont="1" applyBorder="1" applyAlignment="1">
      <alignment horizontal="center" wrapText="1"/>
    </xf>
    <xf numFmtId="0" fontId="2" fillId="0" borderId="0" xfId="0" applyFont="1" applyAlignment="1">
      <alignment horizontal="center" wrapText="1"/>
    </xf>
    <xf numFmtId="0" fontId="2" fillId="0" borderId="13" xfId="0" applyFont="1" applyBorder="1"/>
    <xf numFmtId="3" fontId="0" fillId="0" borderId="53" xfId="0" applyNumberFormat="1" applyBorder="1"/>
    <xf numFmtId="3" fontId="0" fillId="0" borderId="54" xfId="0" applyNumberFormat="1" applyBorder="1"/>
    <xf numFmtId="3" fontId="0" fillId="0" borderId="49" xfId="0" applyNumberFormat="1" applyBorder="1"/>
    <xf numFmtId="4" fontId="0" fillId="0" borderId="103" xfId="0" applyNumberFormat="1" applyBorder="1"/>
    <xf numFmtId="4" fontId="2" fillId="7" borderId="29" xfId="0" applyNumberFormat="1" applyFont="1" applyFill="1" applyBorder="1"/>
    <xf numFmtId="4" fontId="2" fillId="7" borderId="67" xfId="0" applyNumberFormat="1" applyFont="1" applyFill="1" applyBorder="1"/>
    <xf numFmtId="4" fontId="2" fillId="7" borderId="32" xfId="0" applyNumberFormat="1" applyFont="1" applyFill="1" applyBorder="1"/>
    <xf numFmtId="4" fontId="2" fillId="7" borderId="70" xfId="0" applyNumberFormat="1" applyFont="1" applyFill="1" applyBorder="1"/>
    <xf numFmtId="4" fontId="2" fillId="7" borderId="5" xfId="0" applyNumberFormat="1" applyFont="1" applyFill="1" applyBorder="1"/>
    <xf numFmtId="4" fontId="2" fillId="7" borderId="33" xfId="0" applyNumberFormat="1" applyFont="1" applyFill="1" applyBorder="1"/>
    <xf numFmtId="0" fontId="2" fillId="0" borderId="0" xfId="0" applyFont="1" applyAlignment="1">
      <alignment wrapText="1"/>
    </xf>
    <xf numFmtId="0" fontId="2" fillId="0" borderId="7" xfId="0" applyFont="1" applyBorder="1" applyAlignment="1">
      <alignment horizontal="center" wrapText="1"/>
    </xf>
    <xf numFmtId="4" fontId="2" fillId="7" borderId="18" xfId="0" applyNumberFormat="1" applyFont="1" applyFill="1" applyBorder="1"/>
    <xf numFmtId="0" fontId="2" fillId="17" borderId="0" xfId="0" applyFont="1" applyFill="1"/>
    <xf numFmtId="3" fontId="0" fillId="13" borderId="0" xfId="0" applyNumberFormat="1" applyFill="1"/>
    <xf numFmtId="4" fontId="0" fillId="13" borderId="0" xfId="0" applyNumberFormat="1" applyFill="1"/>
    <xf numFmtId="3" fontId="0" fillId="22" borderId="0" xfId="0" applyNumberFormat="1" applyFill="1"/>
    <xf numFmtId="2" fontId="0" fillId="22" borderId="0" xfId="0" applyNumberFormat="1" applyFill="1"/>
    <xf numFmtId="0" fontId="2" fillId="5" borderId="68" xfId="0" applyFont="1" applyFill="1" applyBorder="1" applyAlignment="1">
      <alignment horizontal="center"/>
    </xf>
    <xf numFmtId="0" fontId="2" fillId="23" borderId="68" xfId="0" applyFont="1" applyFill="1" applyBorder="1" applyAlignment="1">
      <alignment horizontal="center" wrapText="1"/>
    </xf>
    <xf numFmtId="3" fontId="0" fillId="0" borderId="48" xfId="0" applyNumberFormat="1" applyBorder="1"/>
    <xf numFmtId="3" fontId="0" fillId="0" borderId="55" xfId="0" applyNumberFormat="1" applyBorder="1"/>
    <xf numFmtId="4" fontId="2" fillId="7" borderId="30" xfId="0" applyNumberFormat="1" applyFont="1" applyFill="1" applyBorder="1"/>
    <xf numFmtId="3" fontId="2" fillId="7" borderId="70" xfId="0" applyNumberFormat="1" applyFont="1" applyFill="1" applyBorder="1"/>
    <xf numFmtId="3" fontId="2" fillId="7" borderId="30" xfId="0" applyNumberFormat="1" applyFont="1" applyFill="1" applyBorder="1"/>
    <xf numFmtId="0" fontId="0" fillId="0" borderId="53" xfId="0" applyBorder="1"/>
    <xf numFmtId="0" fontId="0" fillId="0" borderId="54" xfId="0" applyBorder="1"/>
    <xf numFmtId="0" fontId="0" fillId="0" borderId="62" xfId="0" applyBorder="1"/>
    <xf numFmtId="0" fontId="0" fillId="0" borderId="4" xfId="0" applyBorder="1"/>
    <xf numFmtId="0" fontId="2" fillId="7" borderId="29" xfId="0" applyFont="1" applyFill="1" applyBorder="1"/>
    <xf numFmtId="0" fontId="2" fillId="7" borderId="5" xfId="0" applyFont="1" applyFill="1" applyBorder="1"/>
    <xf numFmtId="0" fontId="2" fillId="7" borderId="67" xfId="0" applyFont="1" applyFill="1" applyBorder="1"/>
    <xf numFmtId="4" fontId="2" fillId="7" borderId="17" xfId="0" applyNumberFormat="1" applyFont="1" applyFill="1" applyBorder="1"/>
    <xf numFmtId="4" fontId="2" fillId="7" borderId="84" xfId="0" applyNumberFormat="1" applyFont="1" applyFill="1" applyBorder="1"/>
    <xf numFmtId="4" fontId="2" fillId="7" borderId="74" xfId="0" applyNumberFormat="1" applyFont="1" applyFill="1" applyBorder="1"/>
    <xf numFmtId="0" fontId="0" fillId="0" borderId="49" xfId="0" applyBorder="1"/>
    <xf numFmtId="0" fontId="0" fillId="0" borderId="48" xfId="0" applyBorder="1"/>
    <xf numFmtId="0" fontId="0" fillId="0" borderId="2" xfId="0" applyBorder="1"/>
    <xf numFmtId="0" fontId="0" fillId="0" borderId="79" xfId="0" applyBorder="1"/>
    <xf numFmtId="0" fontId="2" fillId="7" borderId="18" xfId="0" applyFont="1" applyFill="1" applyBorder="1"/>
    <xf numFmtId="0" fontId="2" fillId="7" borderId="33" xfId="0" applyFont="1" applyFill="1" applyBorder="1"/>
    <xf numFmtId="0" fontId="0" fillId="0" borderId="90" xfId="0" applyBorder="1"/>
    <xf numFmtId="0" fontId="2" fillId="23" borderId="13" xfId="0" applyFont="1" applyFill="1" applyBorder="1" applyAlignment="1">
      <alignment horizontal="center" wrapText="1"/>
    </xf>
    <xf numFmtId="0" fontId="0" fillId="9" borderId="0" xfId="0" applyFill="1" applyAlignment="1">
      <alignment horizontal="center" vertical="center"/>
    </xf>
    <xf numFmtId="0" fontId="2" fillId="0" borderId="61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2" fillId="5" borderId="64" xfId="0" applyFont="1" applyFill="1" applyBorder="1" applyAlignment="1">
      <alignment horizontal="center"/>
    </xf>
    <xf numFmtId="0" fontId="0" fillId="7" borderId="0" xfId="0" applyFill="1" applyAlignment="1">
      <alignment horizontal="center" vertical="center"/>
    </xf>
    <xf numFmtId="0" fontId="0" fillId="0" borderId="55" xfId="0" applyBorder="1"/>
    <xf numFmtId="0" fontId="0" fillId="0" borderId="89" xfId="0" applyBorder="1"/>
    <xf numFmtId="0" fontId="2" fillId="7" borderId="30" xfId="0" applyFont="1" applyFill="1" applyBorder="1"/>
    <xf numFmtId="0" fontId="0" fillId="0" borderId="76" xfId="0" applyBorder="1"/>
    <xf numFmtId="0" fontId="0" fillId="0" borderId="69" xfId="0" applyBorder="1"/>
    <xf numFmtId="0" fontId="0" fillId="0" borderId="23" xfId="0" applyBorder="1"/>
    <xf numFmtId="49" fontId="2" fillId="0" borderId="13" xfId="0" applyNumberFormat="1" applyFont="1" applyBorder="1"/>
    <xf numFmtId="4" fontId="0" fillId="7" borderId="30" xfId="0" applyNumberFormat="1" applyFill="1" applyBorder="1"/>
    <xf numFmtId="4" fontId="0" fillId="7" borderId="32" xfId="0" applyNumberFormat="1" applyFill="1" applyBorder="1"/>
    <xf numFmtId="3" fontId="2" fillId="6" borderId="89" xfId="0" applyNumberFormat="1" applyFont="1" applyFill="1" applyBorder="1"/>
    <xf numFmtId="3" fontId="2" fillId="6" borderId="1" xfId="0" applyNumberFormat="1" applyFont="1" applyFill="1" applyBorder="1"/>
    <xf numFmtId="3" fontId="2" fillId="6" borderId="2" xfId="0" applyNumberFormat="1" applyFont="1" applyFill="1" applyBorder="1"/>
    <xf numFmtId="3" fontId="2" fillId="6" borderId="27" xfId="0" applyNumberFormat="1" applyFont="1" applyFill="1" applyBorder="1"/>
    <xf numFmtId="3" fontId="2" fillId="6" borderId="95" xfId="0" applyNumberFormat="1" applyFont="1" applyFill="1" applyBorder="1"/>
    <xf numFmtId="3" fontId="2" fillId="6" borderId="29" xfId="0" applyNumberFormat="1" applyFont="1" applyFill="1" applyBorder="1"/>
    <xf numFmtId="3" fontId="2" fillId="6" borderId="91" xfId="0" applyNumberFormat="1" applyFont="1" applyFill="1" applyBorder="1"/>
    <xf numFmtId="3" fontId="2" fillId="6" borderId="94" xfId="0" applyNumberFormat="1" applyFont="1" applyFill="1" applyBorder="1"/>
    <xf numFmtId="2" fontId="0" fillId="3" borderId="104" xfId="0" applyNumberFormat="1" applyFill="1" applyBorder="1"/>
    <xf numFmtId="0" fontId="2" fillId="6" borderId="13" xfId="0" applyFont="1" applyFill="1" applyBorder="1"/>
    <xf numFmtId="0" fontId="0" fillId="0" borderId="13" xfId="0" applyBorder="1"/>
    <xf numFmtId="0" fontId="0" fillId="0" borderId="8" xfId="0" applyBorder="1" applyAlignment="1">
      <alignment horizontal="center" vertical="center" wrapText="1"/>
    </xf>
    <xf numFmtId="0" fontId="0" fillId="0" borderId="24" xfId="0" applyBorder="1" applyAlignment="1">
      <alignment horizontal="center" vertical="center" wrapText="1"/>
    </xf>
    <xf numFmtId="0" fontId="0" fillId="0" borderId="65" xfId="0" applyBorder="1" applyAlignment="1">
      <alignment horizontal="center" vertical="center" wrapText="1"/>
    </xf>
    <xf numFmtId="0" fontId="0" fillId="0" borderId="58" xfId="0" applyBorder="1"/>
    <xf numFmtId="3" fontId="0" fillId="0" borderId="0" xfId="0" applyNumberFormat="1" applyAlignment="1">
      <alignment horizontal="right"/>
    </xf>
    <xf numFmtId="0" fontId="0" fillId="0" borderId="16" xfId="0" applyBorder="1" applyAlignment="1">
      <alignment horizontal="center"/>
    </xf>
    <xf numFmtId="3" fontId="0" fillId="0" borderId="53" xfId="0" applyNumberFormat="1" applyBorder="1" applyAlignment="1">
      <alignment horizontal="right"/>
    </xf>
    <xf numFmtId="0" fontId="0" fillId="0" borderId="14" xfId="0" applyBorder="1" applyAlignment="1">
      <alignment horizontal="center"/>
    </xf>
    <xf numFmtId="3" fontId="0" fillId="0" borderId="29" xfId="0" applyNumberFormat="1" applyBorder="1"/>
    <xf numFmtId="0" fontId="0" fillId="0" borderId="53" xfId="0" applyBorder="1" applyAlignment="1">
      <alignment horizontal="center"/>
    </xf>
    <xf numFmtId="0" fontId="0" fillId="0" borderId="29" xfId="0" applyBorder="1" applyAlignment="1">
      <alignment horizontal="center"/>
    </xf>
    <xf numFmtId="3" fontId="2" fillId="6" borderId="77" xfId="0" applyNumberFormat="1" applyFont="1" applyFill="1" applyBorder="1"/>
    <xf numFmtId="3" fontId="2" fillId="6" borderId="105" xfId="0" applyNumberFormat="1" applyFont="1" applyFill="1" applyBorder="1"/>
    <xf numFmtId="2" fontId="2" fillId="8" borderId="29" xfId="0" applyNumberFormat="1" applyFont="1" applyFill="1" applyBorder="1"/>
    <xf numFmtId="0" fontId="2" fillId="3" borderId="4" xfId="0" applyFont="1" applyFill="1" applyBorder="1"/>
    <xf numFmtId="3" fontId="2" fillId="0" borderId="102" xfId="0" applyNumberFormat="1" applyFont="1" applyBorder="1"/>
    <xf numFmtId="3" fontId="2" fillId="0" borderId="103" xfId="0" applyNumberFormat="1" applyFont="1" applyBorder="1"/>
    <xf numFmtId="0" fontId="2" fillId="6" borderId="53" xfId="0" applyFont="1" applyFill="1" applyBorder="1" applyAlignment="1">
      <alignment horizontal="center"/>
    </xf>
    <xf numFmtId="3" fontId="2" fillId="0" borderId="69" xfId="0" applyNumberFormat="1" applyFont="1" applyBorder="1"/>
    <xf numFmtId="3" fontId="2" fillId="0" borderId="66" xfId="0" applyNumberFormat="1" applyFont="1" applyBorder="1"/>
    <xf numFmtId="165" fontId="2" fillId="0" borderId="67" xfId="0" applyNumberFormat="1" applyFont="1" applyBorder="1"/>
    <xf numFmtId="0" fontId="2" fillId="4" borderId="53" xfId="0" applyFont="1" applyFill="1" applyBorder="1" applyAlignment="1">
      <alignment horizontal="center"/>
    </xf>
    <xf numFmtId="165" fontId="19" fillId="0" borderId="0" xfId="0" applyNumberFormat="1" applyFont="1"/>
    <xf numFmtId="0" fontId="0" fillId="0" borderId="61" xfId="0" applyBorder="1"/>
    <xf numFmtId="0" fontId="0" fillId="0" borderId="58" xfId="0" applyBorder="1" applyAlignment="1">
      <alignment horizontal="center" wrapText="1"/>
    </xf>
    <xf numFmtId="0" fontId="0" fillId="0" borderId="0" xfId="0" applyAlignment="1">
      <alignment horizontal="center" wrapText="1"/>
    </xf>
    <xf numFmtId="0" fontId="0" fillId="0" borderId="58" xfId="0" applyBorder="1" applyAlignment="1">
      <alignment horizontal="center"/>
    </xf>
    <xf numFmtId="0" fontId="0" fillId="24" borderId="15" xfId="0" applyFill="1" applyBorder="1"/>
    <xf numFmtId="3" fontId="31" fillId="24" borderId="107" xfId="0" applyNumberFormat="1" applyFont="1" applyFill="1" applyBorder="1" applyAlignment="1">
      <alignment horizontal="right" vertical="center"/>
    </xf>
    <xf numFmtId="3" fontId="31" fillId="24" borderId="108" xfId="0" applyNumberFormat="1" applyFont="1" applyFill="1" applyBorder="1" applyAlignment="1">
      <alignment horizontal="right" vertical="center"/>
    </xf>
    <xf numFmtId="0" fontId="18" fillId="0" borderId="0" xfId="0" applyFont="1" applyAlignment="1">
      <alignment horizontal="center" vertical="center"/>
    </xf>
    <xf numFmtId="3" fontId="0" fillId="0" borderId="0" xfId="0" applyNumberFormat="1" applyAlignment="1">
      <alignment horizontal="center" vertical="center"/>
    </xf>
    <xf numFmtId="3" fontId="31" fillId="20" borderId="87" xfId="0" applyNumberFormat="1" applyFont="1" applyFill="1" applyBorder="1" applyAlignment="1">
      <alignment horizontal="right" vertical="center"/>
    </xf>
    <xf numFmtId="3" fontId="31" fillId="20" borderId="109" xfId="0" applyNumberFormat="1" applyFont="1" applyFill="1" applyBorder="1" applyAlignment="1">
      <alignment horizontal="right" vertical="center"/>
    </xf>
    <xf numFmtId="0" fontId="0" fillId="24" borderId="0" xfId="0" applyFill="1"/>
    <xf numFmtId="3" fontId="31" fillId="24" borderId="110" xfId="0" applyNumberFormat="1" applyFont="1" applyFill="1" applyBorder="1" applyAlignment="1">
      <alignment horizontal="right" vertical="center"/>
    </xf>
    <xf numFmtId="3" fontId="31" fillId="24" borderId="111" xfId="0" applyNumberFormat="1" applyFont="1" applyFill="1" applyBorder="1" applyAlignment="1">
      <alignment horizontal="right" vertical="center"/>
    </xf>
    <xf numFmtId="3" fontId="31" fillId="20" borderId="112" xfId="0" applyNumberFormat="1" applyFont="1" applyFill="1" applyBorder="1" applyAlignment="1">
      <alignment horizontal="right" vertical="center"/>
    </xf>
    <xf numFmtId="3" fontId="31" fillId="20" borderId="113" xfId="0" applyNumberFormat="1" applyFont="1" applyFill="1" applyBorder="1" applyAlignment="1">
      <alignment horizontal="right" vertical="center"/>
    </xf>
    <xf numFmtId="0" fontId="0" fillId="0" borderId="91" xfId="0" applyBorder="1"/>
    <xf numFmtId="3" fontId="0" fillId="0" borderId="1" xfId="0" applyNumberFormat="1" applyBorder="1" applyAlignment="1">
      <alignment horizontal="right"/>
    </xf>
    <xf numFmtId="3" fontId="31" fillId="0" borderId="110" xfId="0" applyNumberFormat="1" applyFont="1" applyBorder="1" applyAlignment="1">
      <alignment horizontal="right" vertical="center"/>
    </xf>
    <xf numFmtId="3" fontId="31" fillId="20" borderId="110" xfId="0" applyNumberFormat="1" applyFont="1" applyFill="1" applyBorder="1" applyAlignment="1">
      <alignment horizontal="right" vertical="center"/>
    </xf>
    <xf numFmtId="0" fontId="0" fillId="24" borderId="91" xfId="0" applyFill="1" applyBorder="1"/>
    <xf numFmtId="3" fontId="0" fillId="24" borderId="2" xfId="0" applyNumberFormat="1" applyFill="1" applyBorder="1"/>
    <xf numFmtId="0" fontId="0" fillId="24" borderId="76" xfId="0" applyFill="1" applyBorder="1"/>
    <xf numFmtId="0" fontId="0" fillId="4" borderId="91" xfId="0" applyFill="1" applyBorder="1"/>
    <xf numFmtId="3" fontId="31" fillId="4" borderId="110" xfId="0" applyNumberFormat="1" applyFont="1" applyFill="1" applyBorder="1" applyAlignment="1">
      <alignment horizontal="right" vertical="center"/>
    </xf>
    <xf numFmtId="3" fontId="0" fillId="4" borderId="2" xfId="0" applyNumberFormat="1" applyFill="1" applyBorder="1"/>
    <xf numFmtId="0" fontId="0" fillId="4" borderId="76" xfId="0" applyFill="1" applyBorder="1"/>
    <xf numFmtId="3" fontId="0" fillId="0" borderId="92" xfId="0" applyNumberFormat="1" applyBorder="1"/>
    <xf numFmtId="0" fontId="0" fillId="25" borderId="0" xfId="0" applyFill="1" applyAlignment="1">
      <alignment horizontal="center" vertical="center"/>
    </xf>
    <xf numFmtId="4" fontId="0" fillId="25" borderId="0" xfId="0" applyNumberFormat="1" applyFill="1"/>
    <xf numFmtId="0" fontId="0" fillId="9" borderId="0" xfId="0" applyFill="1" applyAlignment="1">
      <alignment horizontal="right" vertical="center"/>
    </xf>
    <xf numFmtId="2" fontId="0" fillId="9" borderId="0" xfId="0" applyNumberFormat="1" applyFill="1"/>
    <xf numFmtId="0" fontId="0" fillId="7" borderId="0" xfId="0" applyFill="1" applyAlignment="1">
      <alignment horizontal="right" vertical="center"/>
    </xf>
    <xf numFmtId="2" fontId="0" fillId="7" borderId="0" xfId="0" applyNumberFormat="1" applyFill="1"/>
    <xf numFmtId="0" fontId="0" fillId="0" borderId="29" xfId="0" applyBorder="1"/>
    <xf numFmtId="0" fontId="0" fillId="9" borderId="1" xfId="0" applyFill="1" applyBorder="1" applyAlignment="1">
      <alignment horizontal="center" vertical="center"/>
    </xf>
    <xf numFmtId="0" fontId="0" fillId="11" borderId="1" xfId="0" applyFill="1" applyBorder="1" applyAlignment="1">
      <alignment horizontal="center" vertical="center" wrapText="1"/>
    </xf>
    <xf numFmtId="0" fontId="0" fillId="15" borderId="1" xfId="0" applyFill="1" applyBorder="1" applyAlignment="1">
      <alignment horizontal="center" vertical="center"/>
    </xf>
    <xf numFmtId="3" fontId="0" fillId="26" borderId="1" xfId="0" applyNumberFormat="1" applyFill="1" applyBorder="1"/>
    <xf numFmtId="3" fontId="0" fillId="0" borderId="0" xfId="0" applyNumberFormat="1" applyAlignment="1">
      <alignment horizontal="left"/>
    </xf>
    <xf numFmtId="0" fontId="0" fillId="15" borderId="22" xfId="0" applyFill="1" applyBorder="1" applyAlignment="1">
      <alignment horizontal="center" vertical="center"/>
    </xf>
    <xf numFmtId="0" fontId="0" fillId="27" borderId="1" xfId="0" applyFill="1" applyBorder="1" applyAlignment="1">
      <alignment horizontal="center" vertical="center"/>
    </xf>
    <xf numFmtId="0" fontId="0" fillId="15" borderId="95" xfId="0" applyFill="1" applyBorder="1" applyAlignment="1">
      <alignment horizontal="center" vertical="center"/>
    </xf>
    <xf numFmtId="3" fontId="0" fillId="26" borderId="95" xfId="0" applyNumberFormat="1" applyFill="1" applyBorder="1"/>
    <xf numFmtId="3" fontId="0" fillId="7" borderId="95" xfId="0" applyNumberFormat="1" applyFill="1" applyBorder="1"/>
    <xf numFmtId="0" fontId="2" fillId="15" borderId="8" xfId="0" applyFont="1" applyFill="1" applyBorder="1" applyAlignment="1">
      <alignment horizontal="center" vertical="center"/>
    </xf>
    <xf numFmtId="3" fontId="2" fillId="26" borderId="65" xfId="0" applyNumberFormat="1" applyFont="1" applyFill="1" applyBorder="1"/>
    <xf numFmtId="3" fontId="2" fillId="9" borderId="65" xfId="0" applyNumberFormat="1" applyFont="1" applyFill="1" applyBorder="1"/>
    <xf numFmtId="3" fontId="2" fillId="7" borderId="65" xfId="0" applyNumberFormat="1" applyFont="1" applyFill="1" applyBorder="1"/>
    <xf numFmtId="0" fontId="24" fillId="16" borderId="8" xfId="0" applyFont="1" applyFill="1" applyBorder="1" applyAlignment="1">
      <alignment horizontal="center" vertical="center"/>
    </xf>
    <xf numFmtId="0" fontId="24" fillId="16" borderId="26" xfId="0" applyFont="1" applyFill="1" applyBorder="1" applyAlignment="1">
      <alignment horizontal="center" vertical="center" wrapText="1"/>
    </xf>
    <xf numFmtId="0" fontId="24" fillId="16" borderId="24" xfId="0" applyFont="1" applyFill="1" applyBorder="1" applyAlignment="1">
      <alignment horizontal="center" vertical="center" wrapText="1"/>
    </xf>
    <xf numFmtId="3" fontId="24" fillId="16" borderId="24" xfId="0" applyNumberFormat="1" applyFont="1" applyFill="1" applyBorder="1" applyAlignment="1">
      <alignment horizontal="center" vertical="center" wrapText="1"/>
    </xf>
    <xf numFmtId="0" fontId="24" fillId="16" borderId="65" xfId="0" applyFont="1" applyFill="1" applyBorder="1" applyAlignment="1">
      <alignment horizontal="center" vertical="center" wrapText="1"/>
    </xf>
    <xf numFmtId="3" fontId="25" fillId="0" borderId="22" xfId="0" applyNumberFormat="1" applyFont="1" applyBorder="1" applyAlignment="1">
      <alignment horizontal="right"/>
    </xf>
    <xf numFmtId="2" fontId="25" fillId="0" borderId="69" xfId="0" applyNumberFormat="1" applyFont="1" applyBorder="1" applyAlignment="1">
      <alignment horizontal="right" vertical="center"/>
    </xf>
    <xf numFmtId="2" fontId="15" fillId="0" borderId="76" xfId="0" applyNumberFormat="1" applyFont="1" applyBorder="1" applyAlignment="1">
      <alignment horizontal="right" vertical="center"/>
    </xf>
    <xf numFmtId="3" fontId="25" fillId="0" borderId="1" xfId="0" applyNumberFormat="1" applyFont="1" applyBorder="1" applyAlignment="1">
      <alignment horizontal="right"/>
    </xf>
    <xf numFmtId="2" fontId="15" fillId="0" borderId="89" xfId="0" applyNumberFormat="1" applyFont="1" applyBorder="1" applyAlignment="1">
      <alignment horizontal="right" vertical="center"/>
    </xf>
    <xf numFmtId="2" fontId="25" fillId="0" borderId="66" xfId="0" applyNumberFormat="1" applyFont="1" applyBorder="1" applyAlignment="1">
      <alignment horizontal="right" vertical="center"/>
    </xf>
    <xf numFmtId="3" fontId="30" fillId="0" borderId="1" xfId="0" applyNumberFormat="1" applyFont="1" applyBorder="1" applyAlignment="1">
      <alignment horizontal="right" vertical="center"/>
    </xf>
    <xf numFmtId="2" fontId="30" fillId="0" borderId="89" xfId="0" applyNumberFormat="1" applyFont="1" applyBorder="1" applyAlignment="1">
      <alignment horizontal="right" vertical="center"/>
    </xf>
    <xf numFmtId="2" fontId="30" fillId="0" borderId="66" xfId="0" applyNumberFormat="1" applyFont="1" applyBorder="1" applyAlignment="1">
      <alignment horizontal="right" vertical="center"/>
    </xf>
    <xf numFmtId="3" fontId="24" fillId="0" borderId="5" xfId="0" applyNumberFormat="1" applyFont="1" applyBorder="1" applyAlignment="1">
      <alignment horizontal="right"/>
    </xf>
    <xf numFmtId="2" fontId="9" fillId="0" borderId="30" xfId="0" applyNumberFormat="1" applyFont="1" applyBorder="1" applyAlignment="1">
      <alignment horizontal="right" vertical="center"/>
    </xf>
    <xf numFmtId="2" fontId="24" fillId="0" borderId="67" xfId="0" applyNumberFormat="1" applyFont="1" applyBorder="1" applyAlignment="1">
      <alignment horizontal="right" vertical="center"/>
    </xf>
    <xf numFmtId="0" fontId="9" fillId="0" borderId="0" xfId="0" applyFont="1" applyAlignment="1">
      <alignment vertical="center"/>
    </xf>
    <xf numFmtId="2" fontId="9" fillId="0" borderId="0" xfId="0" applyNumberFormat="1" applyFont="1" applyAlignment="1">
      <alignment horizontal="right" vertical="center"/>
    </xf>
    <xf numFmtId="3" fontId="24" fillId="0" borderId="0" xfId="0" applyNumberFormat="1" applyFont="1" applyAlignment="1">
      <alignment horizontal="right"/>
    </xf>
    <xf numFmtId="2" fontId="24" fillId="0" borderId="0" xfId="0" applyNumberFormat="1" applyFont="1" applyAlignment="1">
      <alignment horizontal="right" vertical="center"/>
    </xf>
    <xf numFmtId="0" fontId="24" fillId="5" borderId="8" xfId="0" applyFont="1" applyFill="1" applyBorder="1" applyAlignment="1">
      <alignment horizontal="center" vertical="center"/>
    </xf>
    <xf numFmtId="0" fontId="24" fillId="5" borderId="26" xfId="0" applyFont="1" applyFill="1" applyBorder="1" applyAlignment="1">
      <alignment horizontal="center" vertical="center" wrapText="1"/>
    </xf>
    <xf numFmtId="0" fontId="24" fillId="5" borderId="24" xfId="0" applyFont="1" applyFill="1" applyBorder="1" applyAlignment="1">
      <alignment horizontal="center" vertical="center" wrapText="1"/>
    </xf>
    <xf numFmtId="3" fontId="24" fillId="5" borderId="24" xfId="0" applyNumberFormat="1" applyFont="1" applyFill="1" applyBorder="1" applyAlignment="1">
      <alignment horizontal="center" vertical="center" wrapText="1"/>
    </xf>
    <xf numFmtId="0" fontId="24" fillId="5" borderId="65" xfId="0" applyFont="1" applyFill="1" applyBorder="1" applyAlignment="1">
      <alignment horizontal="center" vertical="center" wrapText="1"/>
    </xf>
    <xf numFmtId="0" fontId="24" fillId="5" borderId="0" xfId="0" applyFont="1" applyFill="1" applyAlignment="1">
      <alignment horizontal="center" vertical="center" wrapText="1"/>
    </xf>
    <xf numFmtId="3" fontId="25" fillId="0" borderId="1" xfId="0" applyNumberFormat="1" applyFont="1" applyBorder="1" applyAlignment="1">
      <alignment horizontal="right" vertical="center"/>
    </xf>
    <xf numFmtId="0" fontId="0" fillId="0" borderId="0" xfId="0" applyAlignment="1">
      <alignment horizontal="center" vertical="center"/>
    </xf>
    <xf numFmtId="2" fontId="9" fillId="0" borderId="5" xfId="0" applyNumberFormat="1" applyFont="1" applyBorder="1" applyAlignment="1">
      <alignment horizontal="right" vertical="center"/>
    </xf>
    <xf numFmtId="0" fontId="0" fillId="5" borderId="0" xfId="0" applyFill="1" applyAlignment="1">
      <alignment horizontal="center" vertical="center"/>
    </xf>
    <xf numFmtId="0" fontId="2" fillId="5" borderId="0" xfId="0" applyFont="1" applyFill="1" applyAlignment="1">
      <alignment horizontal="center" vertical="center"/>
    </xf>
    <xf numFmtId="164" fontId="20" fillId="0" borderId="24" xfId="0" applyNumberFormat="1" applyFont="1" applyBorder="1" applyAlignment="1">
      <alignment horizontal="right"/>
    </xf>
    <xf numFmtId="164" fontId="0" fillId="0" borderId="33" xfId="0" applyNumberFormat="1" applyBorder="1"/>
    <xf numFmtId="0" fontId="15" fillId="0" borderId="16" xfId="0" applyFont="1" applyBorder="1" applyAlignment="1">
      <alignment vertical="center"/>
    </xf>
    <xf numFmtId="0" fontId="15" fillId="0" borderId="117" xfId="0" applyFont="1" applyBorder="1" applyAlignment="1">
      <alignment vertical="center"/>
    </xf>
    <xf numFmtId="3" fontId="11" fillId="14" borderId="12" xfId="0" applyNumberFormat="1" applyFont="1" applyFill="1" applyBorder="1" applyAlignment="1">
      <alignment vertical="center"/>
    </xf>
    <xf numFmtId="3" fontId="11" fillId="13" borderId="12" xfId="0" applyNumberFormat="1" applyFont="1" applyFill="1" applyBorder="1" applyAlignment="1">
      <alignment vertical="center"/>
    </xf>
    <xf numFmtId="3" fontId="9" fillId="14" borderId="58" xfId="0" applyNumberFormat="1" applyFont="1" applyFill="1" applyBorder="1" applyAlignment="1">
      <alignment vertical="center"/>
    </xf>
    <xf numFmtId="3" fontId="9" fillId="14" borderId="13" xfId="0" applyNumberFormat="1" applyFont="1" applyFill="1" applyBorder="1" applyAlignment="1">
      <alignment vertical="center"/>
    </xf>
    <xf numFmtId="3" fontId="9" fillId="14" borderId="12" xfId="0" applyNumberFormat="1" applyFont="1" applyFill="1" applyBorder="1" applyAlignment="1">
      <alignment horizontal="center" vertical="center"/>
    </xf>
    <xf numFmtId="3" fontId="11" fillId="14" borderId="12" xfId="0" applyNumberFormat="1" applyFont="1" applyFill="1" applyBorder="1" applyAlignment="1">
      <alignment horizontal="center" vertical="center"/>
    </xf>
    <xf numFmtId="3" fontId="11" fillId="13" borderId="12" xfId="0" applyNumberFormat="1" applyFont="1" applyFill="1" applyBorder="1" applyAlignment="1">
      <alignment horizontal="center" vertical="center"/>
    </xf>
    <xf numFmtId="3" fontId="9" fillId="14" borderId="58" xfId="0" applyNumberFormat="1" applyFont="1" applyFill="1" applyBorder="1" applyAlignment="1">
      <alignment horizontal="center" vertical="center"/>
    </xf>
    <xf numFmtId="3" fontId="9" fillId="14" borderId="13" xfId="0" applyNumberFormat="1" applyFont="1" applyFill="1" applyBorder="1" applyAlignment="1">
      <alignment horizontal="center" vertical="center"/>
    </xf>
    <xf numFmtId="0" fontId="0" fillId="4" borderId="1" xfId="0" applyFill="1" applyBorder="1" applyAlignment="1">
      <alignment horizontal="center"/>
    </xf>
    <xf numFmtId="2" fontId="0" fillId="15" borderId="0" xfId="0" applyNumberFormat="1" applyFill="1"/>
    <xf numFmtId="2" fontId="0" fillId="13" borderId="0" xfId="0" applyNumberFormat="1" applyFill="1"/>
    <xf numFmtId="0" fontId="0" fillId="7" borderId="0" xfId="0" applyFill="1" applyAlignment="1">
      <alignment horizontal="center" vertical="center" wrapText="1"/>
    </xf>
    <xf numFmtId="164" fontId="0" fillId="0" borderId="3" xfId="0" applyNumberFormat="1" applyBorder="1" applyAlignment="1">
      <alignment horizontal="right"/>
    </xf>
    <xf numFmtId="3" fontId="0" fillId="0" borderId="0" xfId="0" applyNumberFormat="1" applyBorder="1"/>
    <xf numFmtId="165" fontId="0" fillId="0" borderId="0" xfId="0" applyNumberFormat="1" applyBorder="1"/>
    <xf numFmtId="0" fontId="0" fillId="0" borderId="0" xfId="0" applyAlignment="1">
      <alignment horizontal="center"/>
    </xf>
    <xf numFmtId="3" fontId="0" fillId="7" borderId="64" xfId="0" applyNumberFormat="1" applyFill="1" applyBorder="1"/>
    <xf numFmtId="0" fontId="0" fillId="9" borderId="0" xfId="0" applyFill="1"/>
    <xf numFmtId="165" fontId="2" fillId="7" borderId="45" xfId="0" applyNumberFormat="1" applyFont="1" applyFill="1" applyBorder="1"/>
    <xf numFmtId="0" fontId="0" fillId="0" borderId="0" xfId="0" applyAlignment="1"/>
    <xf numFmtId="0" fontId="0" fillId="16" borderId="118" xfId="0" applyFill="1" applyBorder="1"/>
    <xf numFmtId="0" fontId="0" fillId="3" borderId="118" xfId="0" applyFill="1" applyBorder="1"/>
    <xf numFmtId="165" fontId="0" fillId="0" borderId="30" xfId="0" applyNumberFormat="1" applyFont="1" applyBorder="1"/>
    <xf numFmtId="165" fontId="2" fillId="11" borderId="0" xfId="0" applyNumberFormat="1" applyFont="1" applyFill="1"/>
    <xf numFmtId="0" fontId="0" fillId="7" borderId="0" xfId="0" applyFill="1" applyBorder="1"/>
    <xf numFmtId="0" fontId="0" fillId="28" borderId="118" xfId="0" applyFill="1" applyBorder="1"/>
    <xf numFmtId="0" fontId="0" fillId="4" borderId="118" xfId="0" applyFill="1" applyBorder="1" applyAlignment="1">
      <alignment horizontal="center"/>
    </xf>
    <xf numFmtId="3" fontId="0" fillId="0" borderId="118" xfId="0" applyNumberFormat="1" applyBorder="1"/>
    <xf numFmtId="3" fontId="0" fillId="4" borderId="0" xfId="0" applyNumberFormat="1" applyFill="1"/>
    <xf numFmtId="165" fontId="0" fillId="0" borderId="0" xfId="0" applyNumberFormat="1" applyAlignment="1">
      <alignment horizontal="right"/>
    </xf>
    <xf numFmtId="165" fontId="0" fillId="0" borderId="22" xfId="0" applyNumberFormat="1" applyBorder="1"/>
    <xf numFmtId="165" fontId="0" fillId="0" borderId="51" xfId="0" applyNumberFormat="1" applyBorder="1"/>
    <xf numFmtId="165" fontId="0" fillId="9" borderId="36" xfId="0" applyNumberFormat="1" applyFill="1" applyBorder="1"/>
    <xf numFmtId="165" fontId="0" fillId="11" borderId="1" xfId="0" applyNumberFormat="1" applyFill="1" applyBorder="1"/>
    <xf numFmtId="165" fontId="2" fillId="10" borderId="41" xfId="0" applyNumberFormat="1" applyFont="1" applyFill="1" applyBorder="1"/>
    <xf numFmtId="0" fontId="0" fillId="6" borderId="7" xfId="0" applyFill="1" applyBorder="1" applyAlignment="1">
      <alignment horizontal="center"/>
    </xf>
    <xf numFmtId="0" fontId="0" fillId="7" borderId="7" xfId="0" applyFill="1" applyBorder="1" applyAlignment="1">
      <alignment horizontal="center"/>
    </xf>
    <xf numFmtId="165" fontId="2" fillId="0" borderId="1" xfId="0" applyNumberFormat="1" applyFont="1" applyBorder="1"/>
    <xf numFmtId="2" fontId="2" fillId="4" borderId="30" xfId="0" applyNumberFormat="1" applyFont="1" applyFill="1" applyBorder="1"/>
    <xf numFmtId="4" fontId="2" fillId="4" borderId="8" xfId="0" applyNumberFormat="1" applyFont="1" applyFill="1" applyBorder="1"/>
    <xf numFmtId="3" fontId="0" fillId="0" borderId="114" xfId="0" applyNumberFormat="1" applyBorder="1"/>
    <xf numFmtId="3" fontId="0" fillId="0" borderId="115" xfId="0" applyNumberFormat="1" applyBorder="1"/>
    <xf numFmtId="0" fontId="0" fillId="4" borderId="1" xfId="0" applyFill="1" applyBorder="1" applyAlignment="1">
      <alignment horizontal="center"/>
    </xf>
    <xf numFmtId="0" fontId="36" fillId="0" borderId="118" xfId="0" applyFont="1" applyBorder="1" applyAlignment="1">
      <alignment horizontal="center" vertical="center" wrapText="1"/>
    </xf>
    <xf numFmtId="2" fontId="0" fillId="0" borderId="0" xfId="0" applyNumberFormat="1" applyBorder="1"/>
    <xf numFmtId="0" fontId="2" fillId="0" borderId="0" xfId="0" applyFont="1" applyAlignment="1">
      <alignment horizontal="center"/>
    </xf>
    <xf numFmtId="0" fontId="0" fillId="0" borderId="0" xfId="0" applyAlignment="1">
      <alignment horizontal="center"/>
    </xf>
    <xf numFmtId="165" fontId="2" fillId="7" borderId="0" xfId="0" applyNumberFormat="1" applyFont="1" applyFill="1" applyBorder="1"/>
    <xf numFmtId="0" fontId="0" fillId="0" borderId="0" xfId="0" applyAlignment="1">
      <alignment horizontal="center"/>
    </xf>
    <xf numFmtId="0" fontId="0" fillId="4" borderId="1" xfId="0" applyFill="1" applyBorder="1" applyAlignment="1">
      <alignment horizontal="center"/>
    </xf>
    <xf numFmtId="3" fontId="0" fillId="7" borderId="118" xfId="0" applyNumberFormat="1" applyFill="1" applyBorder="1"/>
    <xf numFmtId="0" fontId="2" fillId="0" borderId="0" xfId="0" applyFont="1" applyAlignment="1"/>
    <xf numFmtId="0" fontId="37" fillId="0" borderId="0" xfId="15"/>
    <xf numFmtId="0" fontId="36" fillId="13" borderId="119" xfId="15" applyFont="1" applyFill="1" applyBorder="1" applyAlignment="1">
      <alignment horizontal="center" vertical="center" wrapText="1"/>
    </xf>
    <xf numFmtId="0" fontId="36" fillId="15" borderId="119" xfId="15" applyFont="1" applyFill="1" applyBorder="1" applyAlignment="1">
      <alignment horizontal="center" vertical="center" wrapText="1"/>
    </xf>
    <xf numFmtId="0" fontId="36" fillId="2" borderId="119" xfId="15" applyFont="1" applyFill="1" applyBorder="1" applyAlignment="1">
      <alignment horizontal="center" vertical="center" wrapText="1"/>
    </xf>
    <xf numFmtId="0" fontId="37" fillId="0" borderId="0" xfId="15" applyAlignment="1">
      <alignment vertical="center" wrapText="1"/>
    </xf>
    <xf numFmtId="0" fontId="2" fillId="22" borderId="120" xfId="15" applyFont="1" applyFill="1" applyBorder="1"/>
    <xf numFmtId="165" fontId="37" fillId="22" borderId="114" xfId="15" applyNumberFormat="1" applyFill="1" applyBorder="1" applyAlignment="1">
      <alignment horizontal="right"/>
    </xf>
    <xf numFmtId="165" fontId="37" fillId="22" borderId="123" xfId="15" applyNumberFormat="1" applyFill="1" applyBorder="1" applyAlignment="1">
      <alignment horizontal="right"/>
    </xf>
    <xf numFmtId="165" fontId="38" fillId="22" borderId="123" xfId="15" applyNumberFormat="1" applyFont="1" applyFill="1" applyBorder="1" applyAlignment="1">
      <alignment horizontal="right"/>
    </xf>
    <xf numFmtId="3" fontId="2" fillId="22" borderId="118" xfId="15" applyNumberFormat="1" applyFont="1" applyFill="1" applyBorder="1" applyAlignment="1">
      <alignment horizontal="right"/>
    </xf>
    <xf numFmtId="3" fontId="2" fillId="22" borderId="123" xfId="15" applyNumberFormat="1" applyFont="1" applyFill="1" applyBorder="1" applyAlignment="1">
      <alignment horizontal="right"/>
    </xf>
    <xf numFmtId="0" fontId="37" fillId="0" borderId="0" xfId="15" applyFill="1"/>
    <xf numFmtId="0" fontId="37" fillId="16" borderId="120" xfId="15" applyFill="1" applyBorder="1" applyAlignment="1">
      <alignment horizontal="left" indent="1"/>
    </xf>
    <xf numFmtId="165" fontId="37" fillId="0" borderId="124" xfId="15" applyNumberFormat="1" applyBorder="1" applyAlignment="1">
      <alignment horizontal="right"/>
    </xf>
    <xf numFmtId="165" fontId="37" fillId="0" borderId="118" xfId="15" applyNumberFormat="1" applyBorder="1" applyAlignment="1">
      <alignment horizontal="right"/>
    </xf>
    <xf numFmtId="165" fontId="38" fillId="0" borderId="118" xfId="15" applyNumberFormat="1" applyFont="1" applyBorder="1" applyAlignment="1">
      <alignment horizontal="right"/>
    </xf>
    <xf numFmtId="3" fontId="2" fillId="16" borderId="118" xfId="15" applyNumberFormat="1" applyFont="1" applyFill="1" applyBorder="1" applyAlignment="1">
      <alignment horizontal="right"/>
    </xf>
    <xf numFmtId="3" fontId="2" fillId="17" borderId="118" xfId="15" applyNumberFormat="1" applyFont="1" applyFill="1" applyBorder="1" applyAlignment="1">
      <alignment horizontal="right"/>
    </xf>
    <xf numFmtId="165" fontId="37" fillId="22" borderId="124" xfId="15" applyNumberFormat="1" applyFill="1" applyBorder="1" applyAlignment="1">
      <alignment horizontal="right"/>
    </xf>
    <xf numFmtId="165" fontId="37" fillId="22" borderId="118" xfId="15" applyNumberFormat="1" applyFill="1" applyBorder="1" applyAlignment="1">
      <alignment horizontal="right"/>
    </xf>
    <xf numFmtId="165" fontId="38" fillId="22" borderId="118" xfId="15" applyNumberFormat="1" applyFont="1" applyFill="1" applyBorder="1" applyAlignment="1">
      <alignment horizontal="right"/>
    </xf>
    <xf numFmtId="0" fontId="37" fillId="16" borderId="120" xfId="15" applyFill="1" applyBorder="1"/>
    <xf numFmtId="0" fontId="2" fillId="29" borderId="120" xfId="15" applyFont="1" applyFill="1" applyBorder="1"/>
    <xf numFmtId="0" fontId="2" fillId="30" borderId="125" xfId="15" applyFont="1" applyFill="1" applyBorder="1"/>
    <xf numFmtId="165" fontId="2" fillId="30" borderId="124" xfId="15" applyNumberFormat="1" applyFont="1" applyFill="1" applyBorder="1" applyAlignment="1">
      <alignment horizontal="right"/>
    </xf>
    <xf numFmtId="165" fontId="2" fillId="30" borderId="118" xfId="15" applyNumberFormat="1" applyFont="1" applyFill="1" applyBorder="1" applyAlignment="1">
      <alignment horizontal="right"/>
    </xf>
    <xf numFmtId="165" fontId="39" fillId="30" borderId="118" xfId="15" applyNumberFormat="1" applyFont="1" applyFill="1" applyBorder="1" applyAlignment="1">
      <alignment horizontal="right"/>
    </xf>
    <xf numFmtId="3" fontId="2" fillId="30" borderId="118" xfId="15" applyNumberFormat="1" applyFont="1" applyFill="1" applyBorder="1" applyAlignment="1">
      <alignment horizontal="right"/>
    </xf>
    <xf numFmtId="0" fontId="2" fillId="0" borderId="0" xfId="15" applyFont="1" applyFill="1"/>
    <xf numFmtId="165" fontId="37" fillId="0" borderId="0" xfId="15" applyNumberFormat="1" applyFill="1"/>
    <xf numFmtId="0" fontId="37" fillId="31" borderId="23" xfId="15" applyFill="1" applyBorder="1"/>
    <xf numFmtId="3" fontId="2" fillId="31" borderId="118" xfId="15" applyNumberFormat="1" applyFont="1" applyFill="1" applyBorder="1" applyAlignment="1">
      <alignment horizontal="right"/>
    </xf>
    <xf numFmtId="3" fontId="2" fillId="5" borderId="118" xfId="15" applyNumberFormat="1" applyFont="1" applyFill="1" applyBorder="1" applyAlignment="1">
      <alignment horizontal="right"/>
    </xf>
    <xf numFmtId="0" fontId="37" fillId="31" borderId="120" xfId="15" applyFill="1" applyBorder="1"/>
    <xf numFmtId="0" fontId="37" fillId="31" borderId="120" xfId="15" applyFill="1" applyBorder="1" applyAlignment="1">
      <alignment horizontal="left" indent="1"/>
    </xf>
    <xf numFmtId="165" fontId="2" fillId="22" borderId="124" xfId="15" applyNumberFormat="1" applyFont="1" applyFill="1" applyBorder="1" applyAlignment="1">
      <alignment horizontal="right"/>
    </xf>
    <xf numFmtId="165" fontId="2" fillId="22" borderId="118" xfId="15" applyNumberFormat="1" applyFont="1" applyFill="1" applyBorder="1" applyAlignment="1">
      <alignment horizontal="right"/>
    </xf>
    <xf numFmtId="165" fontId="39" fillId="22" borderId="118" xfId="15" applyNumberFormat="1" applyFont="1" applyFill="1" applyBorder="1" applyAlignment="1">
      <alignment horizontal="right"/>
    </xf>
    <xf numFmtId="0" fontId="2" fillId="30" borderId="120" xfId="15" applyFont="1" applyFill="1" applyBorder="1"/>
    <xf numFmtId="165" fontId="2" fillId="30" borderId="126" xfId="15" applyNumberFormat="1" applyFont="1" applyFill="1" applyBorder="1" applyAlignment="1">
      <alignment horizontal="right"/>
    </xf>
    <xf numFmtId="165" fontId="2" fillId="30" borderId="127" xfId="15" applyNumberFormat="1" applyFont="1" applyFill="1" applyBorder="1" applyAlignment="1">
      <alignment horizontal="right"/>
    </xf>
    <xf numFmtId="165" fontId="39" fillId="30" borderId="127" xfId="15" applyNumberFormat="1" applyFont="1" applyFill="1" applyBorder="1" applyAlignment="1">
      <alignment horizontal="right"/>
    </xf>
    <xf numFmtId="165" fontId="2" fillId="30" borderId="128" xfId="15" applyNumberFormat="1" applyFont="1" applyFill="1" applyBorder="1" applyAlignment="1">
      <alignment horizontal="right"/>
    </xf>
    <xf numFmtId="0" fontId="2" fillId="0" borderId="0" xfId="15" applyFont="1"/>
    <xf numFmtId="165" fontId="2" fillId="0" borderId="0" xfId="15" applyNumberFormat="1" applyFont="1"/>
    <xf numFmtId="165" fontId="37" fillId="0" borderId="0" xfId="15" applyNumberFormat="1"/>
    <xf numFmtId="0" fontId="36" fillId="13" borderId="118" xfId="15" applyFont="1" applyFill="1" applyBorder="1" applyAlignment="1">
      <alignment horizontal="center" vertical="center" wrapText="1"/>
    </xf>
    <xf numFmtId="0" fontId="36" fillId="15" borderId="118" xfId="15" applyFont="1" applyFill="1" applyBorder="1" applyAlignment="1">
      <alignment horizontal="center" vertical="center" wrapText="1"/>
    </xf>
    <xf numFmtId="0" fontId="36" fillId="2" borderId="118" xfId="15" applyFont="1" applyFill="1" applyBorder="1" applyAlignment="1">
      <alignment horizontal="center" vertical="center" wrapText="1"/>
    </xf>
    <xf numFmtId="0" fontId="37" fillId="32" borderId="118" xfId="15" applyFill="1" applyBorder="1"/>
    <xf numFmtId="165" fontId="37" fillId="32" borderId="118" xfId="15" applyNumberFormat="1" applyFill="1" applyBorder="1"/>
    <xf numFmtId="165" fontId="2" fillId="32" borderId="118" xfId="15" applyNumberFormat="1" applyFont="1" applyFill="1" applyBorder="1" applyAlignment="1">
      <alignment horizontal="right"/>
    </xf>
    <xf numFmtId="0" fontId="2" fillId="22" borderId="118" xfId="15" applyFont="1" applyFill="1" applyBorder="1"/>
    <xf numFmtId="165" fontId="2" fillId="22" borderId="118" xfId="15" applyNumberFormat="1" applyFont="1" applyFill="1" applyBorder="1"/>
    <xf numFmtId="165" fontId="37" fillId="22" borderId="118" xfId="15" applyNumberFormat="1" applyFill="1" applyBorder="1"/>
    <xf numFmtId="0" fontId="2" fillId="30" borderId="118" xfId="15" applyFont="1" applyFill="1" applyBorder="1"/>
    <xf numFmtId="165" fontId="2" fillId="30" borderId="118" xfId="15" applyNumberFormat="1" applyFont="1" applyFill="1" applyBorder="1"/>
    <xf numFmtId="0" fontId="37" fillId="16" borderId="118" xfId="15" applyFill="1" applyBorder="1" applyAlignment="1">
      <alignment horizontal="left" indent="1"/>
    </xf>
    <xf numFmtId="165" fontId="2" fillId="16" borderId="118" xfId="15" applyNumberFormat="1" applyFont="1" applyFill="1" applyBorder="1" applyAlignment="1">
      <alignment horizontal="right"/>
    </xf>
    <xf numFmtId="165" fontId="2" fillId="17" borderId="118" xfId="15" applyNumberFormat="1" applyFont="1" applyFill="1" applyBorder="1" applyAlignment="1">
      <alignment horizontal="right"/>
    </xf>
    <xf numFmtId="165" fontId="37" fillId="17" borderId="118" xfId="15" applyNumberFormat="1" applyFill="1" applyBorder="1" applyAlignment="1">
      <alignment horizontal="right"/>
    </xf>
    <xf numFmtId="0" fontId="2" fillId="30" borderId="129" xfId="15" applyFont="1" applyFill="1" applyBorder="1"/>
    <xf numFmtId="165" fontId="2" fillId="30" borderId="129" xfId="15" applyNumberFormat="1" applyFont="1" applyFill="1" applyBorder="1" applyAlignment="1">
      <alignment horizontal="right"/>
    </xf>
    <xf numFmtId="165" fontId="39" fillId="30" borderId="129" xfId="15" applyNumberFormat="1" applyFont="1" applyFill="1" applyBorder="1" applyAlignment="1">
      <alignment horizontal="right"/>
    </xf>
    <xf numFmtId="165" fontId="37" fillId="0" borderId="22" xfId="15" applyNumberFormat="1" applyBorder="1" applyAlignment="1">
      <alignment horizontal="right"/>
    </xf>
    <xf numFmtId="165" fontId="38" fillId="0" borderId="22" xfId="15" applyNumberFormat="1" applyFont="1" applyBorder="1" applyAlignment="1">
      <alignment horizontal="right"/>
    </xf>
    <xf numFmtId="165" fontId="2" fillId="31" borderId="22" xfId="15" applyNumberFormat="1" applyFont="1" applyFill="1" applyBorder="1" applyAlignment="1">
      <alignment horizontal="right"/>
    </xf>
    <xf numFmtId="165" fontId="2" fillId="5" borderId="22" xfId="15" applyNumberFormat="1" applyFont="1" applyFill="1" applyBorder="1" applyAlignment="1">
      <alignment horizontal="right"/>
    </xf>
    <xf numFmtId="165" fontId="2" fillId="31" borderId="118" xfId="15" applyNumberFormat="1" applyFont="1" applyFill="1" applyBorder="1" applyAlignment="1">
      <alignment horizontal="right"/>
    </xf>
    <xf numFmtId="165" fontId="2" fillId="5" borderId="118" xfId="15" applyNumberFormat="1" applyFont="1" applyFill="1" applyBorder="1" applyAlignment="1">
      <alignment horizontal="right"/>
    </xf>
    <xf numFmtId="0" fontId="1" fillId="32" borderId="118" xfId="15" applyFont="1" applyFill="1" applyBorder="1"/>
    <xf numFmtId="165" fontId="39" fillId="30" borderId="118" xfId="15" applyNumberFormat="1" applyFont="1" applyFill="1" applyBorder="1"/>
    <xf numFmtId="165" fontId="37" fillId="0" borderId="118" xfId="15" applyNumberFormat="1" applyFill="1" applyBorder="1" applyAlignment="1">
      <alignment horizontal="right"/>
    </xf>
    <xf numFmtId="165" fontId="38" fillId="0" borderId="118" xfId="15" applyNumberFormat="1" applyFont="1" applyFill="1" applyBorder="1" applyAlignment="1">
      <alignment horizontal="right"/>
    </xf>
    <xf numFmtId="165" fontId="37" fillId="0" borderId="22" xfId="15" applyNumberFormat="1" applyFill="1" applyBorder="1" applyAlignment="1">
      <alignment horizontal="right"/>
    </xf>
    <xf numFmtId="165" fontId="38" fillId="0" borderId="22" xfId="15" applyNumberFormat="1" applyFont="1" applyFill="1" applyBorder="1" applyAlignment="1">
      <alignment horizontal="right"/>
    </xf>
    <xf numFmtId="165" fontId="37" fillId="5" borderId="22" xfId="15" applyNumberFormat="1" applyFill="1" applyBorder="1" applyAlignment="1">
      <alignment horizontal="right"/>
    </xf>
    <xf numFmtId="165" fontId="37" fillId="5" borderId="118" xfId="15" applyNumberFormat="1" applyFill="1" applyBorder="1" applyAlignment="1">
      <alignment horizontal="right"/>
    </xf>
    <xf numFmtId="3" fontId="0" fillId="0" borderId="127" xfId="0" applyNumberFormat="1" applyBorder="1"/>
    <xf numFmtId="0" fontId="0" fillId="4" borderId="130" xfId="0" applyFill="1" applyBorder="1" applyAlignment="1">
      <alignment horizontal="center"/>
    </xf>
    <xf numFmtId="3" fontId="0" fillId="0" borderId="130" xfId="0" applyNumberFormat="1" applyBorder="1"/>
    <xf numFmtId="3" fontId="0" fillId="0" borderId="131" xfId="0" applyNumberFormat="1" applyBorder="1"/>
    <xf numFmtId="3" fontId="0" fillId="7" borderId="68" xfId="0" applyNumberFormat="1" applyFill="1" applyBorder="1"/>
    <xf numFmtId="0" fontId="0" fillId="0" borderId="118" xfId="0" applyBorder="1"/>
    <xf numFmtId="3" fontId="0" fillId="7" borderId="24" xfId="0" applyNumberFormat="1" applyFill="1" applyBorder="1"/>
    <xf numFmtId="164" fontId="0" fillId="0" borderId="118" xfId="0" applyNumberFormat="1" applyBorder="1"/>
    <xf numFmtId="164" fontId="0" fillId="7" borderId="118" xfId="0" applyNumberFormat="1" applyFill="1" applyBorder="1"/>
    <xf numFmtId="165" fontId="0" fillId="7" borderId="0" xfId="0" applyNumberFormat="1" applyFill="1"/>
    <xf numFmtId="164" fontId="0" fillId="15" borderId="0" xfId="0" applyNumberFormat="1" applyFill="1"/>
    <xf numFmtId="164" fontId="0" fillId="13" borderId="0" xfId="0" applyNumberFormat="1" applyFill="1"/>
    <xf numFmtId="0" fontId="0" fillId="0" borderId="118" xfId="0" applyFill="1" applyBorder="1"/>
    <xf numFmtId="164" fontId="0" fillId="0" borderId="0" xfId="0" applyNumberFormat="1" applyFill="1"/>
    <xf numFmtId="3" fontId="0" fillId="0" borderId="123" xfId="0" applyNumberFormat="1" applyBorder="1"/>
    <xf numFmtId="0" fontId="0" fillId="0" borderId="123" xfId="0" applyBorder="1"/>
    <xf numFmtId="164" fontId="0" fillId="0" borderId="123" xfId="0" applyNumberFormat="1" applyBorder="1"/>
    <xf numFmtId="165" fontId="0" fillId="0" borderId="123" xfId="0" applyNumberFormat="1" applyBorder="1"/>
    <xf numFmtId="165" fontId="0" fillId="0" borderId="118" xfId="0" applyNumberFormat="1" applyBorder="1"/>
    <xf numFmtId="165" fontId="0" fillId="7" borderId="118" xfId="0" applyNumberFormat="1" applyFill="1" applyBorder="1"/>
    <xf numFmtId="165" fontId="0" fillId="7" borderId="4" xfId="0" applyNumberFormat="1" applyFill="1" applyBorder="1"/>
    <xf numFmtId="0" fontId="36" fillId="16" borderId="118" xfId="0" applyFont="1" applyFill="1" applyBorder="1" applyAlignment="1">
      <alignment horizontal="center" vertical="center" wrapText="1"/>
    </xf>
    <xf numFmtId="0" fontId="36" fillId="34" borderId="118" xfId="15" applyFont="1" applyFill="1" applyBorder="1" applyAlignment="1">
      <alignment horizontal="center" vertical="center" wrapText="1"/>
    </xf>
    <xf numFmtId="0" fontId="36" fillId="35" borderId="118" xfId="15" applyFont="1" applyFill="1" applyBorder="1" applyAlignment="1">
      <alignment horizontal="center" vertical="center" wrapText="1"/>
    </xf>
    <xf numFmtId="0" fontId="36" fillId="36" borderId="118" xfId="15" applyFont="1" applyFill="1" applyBorder="1" applyAlignment="1">
      <alignment horizontal="center" vertical="center" wrapText="1"/>
    </xf>
    <xf numFmtId="0" fontId="36" fillId="37" borderId="118" xfId="15" applyFont="1" applyFill="1" applyBorder="1" applyAlignment="1">
      <alignment horizontal="center" vertical="center" wrapText="1"/>
    </xf>
    <xf numFmtId="165" fontId="37" fillId="16" borderId="118" xfId="15" applyNumberFormat="1" applyFill="1" applyBorder="1" applyAlignment="1">
      <alignment horizontal="right"/>
    </xf>
    <xf numFmtId="165" fontId="37" fillId="31" borderId="118" xfId="15" applyNumberFormat="1" applyFill="1" applyBorder="1" applyAlignment="1">
      <alignment horizontal="right"/>
    </xf>
    <xf numFmtId="165" fontId="37" fillId="38" borderId="118" xfId="15" applyNumberFormat="1" applyFill="1" applyBorder="1" applyAlignment="1">
      <alignment horizontal="right"/>
    </xf>
    <xf numFmtId="0" fontId="37" fillId="22" borderId="118" xfId="15" applyFill="1" applyBorder="1"/>
    <xf numFmtId="0" fontId="37" fillId="16" borderId="118" xfId="15" applyFill="1" applyBorder="1"/>
    <xf numFmtId="0" fontId="37" fillId="31" borderId="118" xfId="15" applyFill="1" applyBorder="1"/>
    <xf numFmtId="0" fontId="37" fillId="31" borderId="118" xfId="15" applyFill="1" applyBorder="1" applyAlignment="1">
      <alignment horizontal="left" indent="1"/>
    </xf>
    <xf numFmtId="0" fontId="36" fillId="3" borderId="118" xfId="0" applyFont="1" applyFill="1" applyBorder="1" applyAlignment="1">
      <alignment horizontal="center" vertical="center" wrapText="1"/>
    </xf>
    <xf numFmtId="0" fontId="2" fillId="0" borderId="118" xfId="0" applyFont="1" applyBorder="1"/>
    <xf numFmtId="165" fontId="2" fillId="0" borderId="118" xfId="0" applyNumberFormat="1" applyFont="1" applyFill="1" applyBorder="1" applyAlignment="1">
      <alignment horizontal="right"/>
    </xf>
    <xf numFmtId="165" fontId="2" fillId="3" borderId="118" xfId="0" applyNumberFormat="1" applyFont="1" applyFill="1" applyBorder="1" applyAlignment="1">
      <alignment horizontal="right"/>
    </xf>
    <xf numFmtId="165" fontId="2" fillId="0" borderId="118" xfId="0" applyNumberFormat="1" applyFont="1" applyBorder="1" applyAlignment="1">
      <alignment horizontal="right"/>
    </xf>
    <xf numFmtId="165" fontId="2" fillId="16" borderId="118" xfId="0" applyNumberFormat="1" applyFont="1" applyFill="1" applyBorder="1" applyAlignment="1">
      <alignment horizontal="right"/>
    </xf>
    <xf numFmtId="3" fontId="37" fillId="22" borderId="118" xfId="15" applyNumberFormat="1" applyFill="1" applyBorder="1" applyAlignment="1">
      <alignment horizontal="right"/>
    </xf>
    <xf numFmtId="3" fontId="38" fillId="22" borderId="118" xfId="15" applyNumberFormat="1" applyFont="1" applyFill="1" applyBorder="1" applyAlignment="1">
      <alignment horizontal="right"/>
    </xf>
    <xf numFmtId="3" fontId="37" fillId="0" borderId="118" xfId="15" applyNumberFormat="1" applyFill="1" applyBorder="1" applyAlignment="1">
      <alignment horizontal="right"/>
    </xf>
    <xf numFmtId="3" fontId="38" fillId="0" borderId="118" xfId="15" applyNumberFormat="1" applyFont="1" applyFill="1" applyBorder="1" applyAlignment="1">
      <alignment horizontal="right"/>
    </xf>
    <xf numFmtId="3" fontId="37" fillId="17" borderId="118" xfId="15" applyNumberFormat="1" applyFill="1" applyBorder="1" applyAlignment="1">
      <alignment horizontal="right"/>
    </xf>
    <xf numFmtId="3" fontId="2" fillId="30" borderId="129" xfId="15" applyNumberFormat="1" applyFont="1" applyFill="1" applyBorder="1" applyAlignment="1">
      <alignment horizontal="right"/>
    </xf>
    <xf numFmtId="3" fontId="39" fillId="30" borderId="129" xfId="15" applyNumberFormat="1" applyFont="1" applyFill="1" applyBorder="1" applyAlignment="1">
      <alignment horizontal="right"/>
    </xf>
    <xf numFmtId="3" fontId="37" fillId="0" borderId="22" xfId="15" applyNumberFormat="1" applyFill="1" applyBorder="1" applyAlignment="1">
      <alignment horizontal="right"/>
    </xf>
    <xf numFmtId="3" fontId="38" fillId="0" borderId="22" xfId="15" applyNumberFormat="1" applyFont="1" applyFill="1" applyBorder="1" applyAlignment="1">
      <alignment horizontal="right"/>
    </xf>
    <xf numFmtId="3" fontId="2" fillId="31" borderId="22" xfId="15" applyNumberFormat="1" applyFont="1" applyFill="1" applyBorder="1" applyAlignment="1">
      <alignment horizontal="right"/>
    </xf>
    <xf numFmtId="3" fontId="2" fillId="5" borderId="22" xfId="15" applyNumberFormat="1" applyFont="1" applyFill="1" applyBorder="1" applyAlignment="1">
      <alignment horizontal="right"/>
    </xf>
    <xf numFmtId="3" fontId="37" fillId="5" borderId="22" xfId="15" applyNumberFormat="1" applyFill="1" applyBorder="1" applyAlignment="1">
      <alignment horizontal="right"/>
    </xf>
    <xf numFmtId="3" fontId="37" fillId="5" borderId="118" xfId="15" applyNumberFormat="1" applyFill="1" applyBorder="1" applyAlignment="1">
      <alignment horizontal="right"/>
    </xf>
    <xf numFmtId="3" fontId="39" fillId="22" borderId="118" xfId="15" applyNumberFormat="1" applyFont="1" applyFill="1" applyBorder="1" applyAlignment="1">
      <alignment horizontal="right"/>
    </xf>
    <xf numFmtId="3" fontId="39" fillId="30" borderId="118" xfId="15" applyNumberFormat="1" applyFont="1" applyFill="1" applyBorder="1" applyAlignment="1">
      <alignment horizontal="right"/>
    </xf>
    <xf numFmtId="3" fontId="37" fillId="0" borderId="118" xfId="15" applyNumberFormat="1" applyBorder="1" applyAlignment="1">
      <alignment horizontal="right"/>
    </xf>
    <xf numFmtId="3" fontId="38" fillId="0" borderId="118" xfId="15" applyNumberFormat="1" applyFont="1" applyBorder="1" applyAlignment="1">
      <alignment horizontal="right"/>
    </xf>
    <xf numFmtId="3" fontId="37" fillId="32" borderId="118" xfId="15" applyNumberFormat="1" applyFill="1" applyBorder="1"/>
    <xf numFmtId="3" fontId="2" fillId="32" borderId="118" xfId="15" applyNumberFormat="1" applyFont="1" applyFill="1" applyBorder="1" applyAlignment="1">
      <alignment horizontal="right"/>
    </xf>
    <xf numFmtId="3" fontId="2" fillId="22" borderId="118" xfId="15" applyNumberFormat="1" applyFont="1" applyFill="1" applyBorder="1"/>
    <xf numFmtId="3" fontId="37" fillId="22" borderId="118" xfId="15" applyNumberFormat="1" applyFill="1" applyBorder="1"/>
    <xf numFmtId="3" fontId="2" fillId="30" borderId="118" xfId="15" applyNumberFormat="1" applyFont="1" applyFill="1" applyBorder="1"/>
    <xf numFmtId="3" fontId="37" fillId="0" borderId="22" xfId="15" applyNumberFormat="1" applyBorder="1" applyAlignment="1">
      <alignment horizontal="right"/>
    </xf>
    <xf numFmtId="3" fontId="38" fillId="0" borderId="22" xfId="15" applyNumberFormat="1" applyFont="1" applyBorder="1" applyAlignment="1">
      <alignment horizontal="right"/>
    </xf>
    <xf numFmtId="3" fontId="39" fillId="30" borderId="118" xfId="15" applyNumberFormat="1" applyFont="1" applyFill="1" applyBorder="1"/>
    <xf numFmtId="165" fontId="0" fillId="7" borderId="0" xfId="0" applyNumberFormat="1" applyFill="1" applyBorder="1"/>
    <xf numFmtId="164" fontId="0" fillId="0" borderId="0" xfId="0" applyNumberFormat="1" applyFont="1"/>
    <xf numFmtId="0" fontId="0" fillId="4" borderId="0" xfId="0" applyFill="1" applyBorder="1" applyAlignment="1">
      <alignment horizontal="center"/>
    </xf>
    <xf numFmtId="0" fontId="0" fillId="4" borderId="118" xfId="0" applyFill="1" applyBorder="1" applyAlignment="1">
      <alignment horizontal="right"/>
    </xf>
    <xf numFmtId="0" fontId="0" fillId="4" borderId="7" xfId="0" applyFill="1" applyBorder="1" applyAlignment="1"/>
    <xf numFmtId="0" fontId="0" fillId="4" borderId="25" xfId="0" applyFill="1" applyBorder="1" applyAlignment="1"/>
    <xf numFmtId="0" fontId="0" fillId="4" borderId="65" xfId="0" applyFill="1" applyBorder="1" applyAlignment="1"/>
    <xf numFmtId="0" fontId="0" fillId="4" borderId="0" xfId="0" applyFill="1" applyBorder="1" applyAlignment="1"/>
    <xf numFmtId="0" fontId="0" fillId="4" borderId="0" xfId="0" applyFill="1" applyBorder="1" applyAlignment="1">
      <alignment horizontal="right"/>
    </xf>
    <xf numFmtId="0" fontId="26" fillId="3" borderId="120" xfId="15" applyFont="1" applyFill="1" applyBorder="1" applyAlignment="1">
      <alignment horizontal="center" vertical="center"/>
    </xf>
    <xf numFmtId="0" fontId="26" fillId="3" borderId="121" xfId="15" applyFont="1" applyFill="1" applyBorder="1" applyAlignment="1">
      <alignment horizontal="center" vertical="center"/>
    </xf>
    <xf numFmtId="0" fontId="26" fillId="3" borderId="122" xfId="15" applyFont="1" applyFill="1" applyBorder="1" applyAlignment="1">
      <alignment horizontal="center" vertical="center"/>
    </xf>
    <xf numFmtId="0" fontId="36" fillId="28" borderId="119" xfId="15" applyFont="1" applyFill="1" applyBorder="1" applyAlignment="1">
      <alignment horizontal="center" vertical="center" wrapText="1"/>
    </xf>
    <xf numFmtId="0" fontId="36" fillId="28" borderId="22" xfId="15" applyFont="1" applyFill="1" applyBorder="1" applyAlignment="1">
      <alignment horizontal="center" vertical="center" wrapText="1"/>
    </xf>
    <xf numFmtId="0" fontId="36" fillId="13" borderId="120" xfId="15" applyFont="1" applyFill="1" applyBorder="1" applyAlignment="1">
      <alignment horizontal="center" vertical="center" wrapText="1"/>
    </xf>
    <xf numFmtId="0" fontId="36" fillId="13" borderId="121" xfId="15" applyFont="1" applyFill="1" applyBorder="1" applyAlignment="1">
      <alignment horizontal="center" vertical="center" wrapText="1"/>
    </xf>
    <xf numFmtId="0" fontId="36" fillId="13" borderId="122" xfId="15" applyFont="1" applyFill="1" applyBorder="1" applyAlignment="1">
      <alignment horizontal="center" vertical="center" wrapText="1"/>
    </xf>
    <xf numFmtId="0" fontId="2" fillId="15" borderId="120" xfId="15" applyFont="1" applyFill="1" applyBorder="1" applyAlignment="1">
      <alignment horizontal="center"/>
    </xf>
    <xf numFmtId="0" fontId="2" fillId="15" borderId="121" xfId="15" applyFont="1" applyFill="1" applyBorder="1" applyAlignment="1">
      <alignment horizontal="center"/>
    </xf>
    <xf numFmtId="0" fontId="2" fillId="15" borderId="122" xfId="15" applyFont="1" applyFill="1" applyBorder="1" applyAlignment="1">
      <alignment horizontal="center"/>
    </xf>
    <xf numFmtId="0" fontId="2" fillId="2" borderId="120" xfId="15" applyFont="1" applyFill="1" applyBorder="1" applyAlignment="1">
      <alignment horizontal="center"/>
    </xf>
    <xf numFmtId="0" fontId="2" fillId="2" borderId="121" xfId="15" applyFont="1" applyFill="1" applyBorder="1" applyAlignment="1">
      <alignment horizontal="center"/>
    </xf>
    <xf numFmtId="0" fontId="2" fillId="2" borderId="122" xfId="15" applyFont="1" applyFill="1" applyBorder="1" applyAlignment="1">
      <alignment horizontal="center"/>
    </xf>
    <xf numFmtId="0" fontId="26" fillId="3" borderId="120" xfId="15" applyFont="1" applyFill="1" applyBorder="1" applyAlignment="1">
      <alignment horizontal="center" vertical="center" wrapText="1"/>
    </xf>
    <xf numFmtId="0" fontId="40" fillId="33" borderId="79" xfId="15" applyFont="1" applyFill="1" applyBorder="1" applyAlignment="1">
      <alignment horizontal="center" wrapText="1"/>
    </xf>
    <xf numFmtId="0" fontId="40" fillId="33" borderId="79" xfId="15" applyFont="1" applyFill="1" applyBorder="1" applyAlignment="1">
      <alignment horizontal="center"/>
    </xf>
    <xf numFmtId="0" fontId="0" fillId="0" borderId="0" xfId="0" applyAlignment="1">
      <alignment horizontal="center"/>
    </xf>
    <xf numFmtId="0" fontId="0" fillId="0" borderId="74" xfId="0" applyBorder="1" applyAlignment="1">
      <alignment horizontal="center"/>
    </xf>
    <xf numFmtId="0" fontId="0" fillId="17" borderId="0" xfId="0" applyFill="1" applyAlignment="1">
      <alignment horizontal="center"/>
    </xf>
    <xf numFmtId="0" fontId="0" fillId="5" borderId="0" xfId="0" applyFill="1" applyAlignment="1">
      <alignment horizontal="center"/>
    </xf>
    <xf numFmtId="0" fontId="2" fillId="0" borderId="118" xfId="0" applyFont="1" applyBorder="1" applyAlignment="1">
      <alignment horizontal="center"/>
    </xf>
    <xf numFmtId="0" fontId="0" fillId="4" borderId="1" xfId="0" applyFill="1" applyBorder="1" applyAlignment="1">
      <alignment horizontal="center"/>
    </xf>
    <xf numFmtId="0" fontId="2" fillId="9" borderId="7" xfId="0" applyFont="1" applyFill="1" applyBorder="1" applyAlignment="1">
      <alignment horizontal="center"/>
    </xf>
    <xf numFmtId="0" fontId="2" fillId="9" borderId="68" xfId="0" applyFont="1" applyFill="1" applyBorder="1" applyAlignment="1">
      <alignment horizontal="center"/>
    </xf>
    <xf numFmtId="0" fontId="2" fillId="9" borderId="64" xfId="0" applyFont="1" applyFill="1" applyBorder="1" applyAlignment="1">
      <alignment horizontal="center"/>
    </xf>
    <xf numFmtId="0" fontId="0" fillId="4" borderId="49" xfId="0" applyFill="1" applyBorder="1" applyAlignment="1">
      <alignment horizontal="center"/>
    </xf>
    <xf numFmtId="0" fontId="0" fillId="4" borderId="55" xfId="0" applyFill="1" applyBorder="1" applyAlignment="1">
      <alignment horizontal="center"/>
    </xf>
    <xf numFmtId="0" fontId="2" fillId="9" borderId="98" xfId="0" applyFont="1" applyFill="1" applyBorder="1" applyAlignment="1">
      <alignment horizontal="center"/>
    </xf>
    <xf numFmtId="0" fontId="2" fillId="9" borderId="74" xfId="0" applyFont="1" applyFill="1" applyBorder="1" applyAlignment="1">
      <alignment horizontal="center"/>
    </xf>
    <xf numFmtId="0" fontId="2" fillId="2" borderId="119" xfId="0" applyFont="1" applyFill="1" applyBorder="1" applyAlignment="1">
      <alignment horizontal="center" vertical="center"/>
    </xf>
    <xf numFmtId="0" fontId="2" fillId="2" borderId="22" xfId="0" applyFont="1" applyFill="1" applyBorder="1" applyAlignment="1">
      <alignment horizontal="center" vertical="center"/>
    </xf>
    <xf numFmtId="0" fontId="2" fillId="9" borderId="61" xfId="0" applyFont="1" applyFill="1" applyBorder="1" applyAlignment="1">
      <alignment horizontal="center"/>
    </xf>
    <xf numFmtId="0" fontId="2" fillId="9" borderId="0" xfId="0" applyFont="1" applyFill="1" applyBorder="1" applyAlignment="1">
      <alignment horizontal="center"/>
    </xf>
    <xf numFmtId="0" fontId="2" fillId="7" borderId="7" xfId="0" applyFont="1" applyFill="1" applyBorder="1" applyAlignment="1">
      <alignment horizontal="center"/>
    </xf>
    <xf numFmtId="0" fontId="2" fillId="7" borderId="68" xfId="0" applyFont="1" applyFill="1" applyBorder="1" applyAlignment="1">
      <alignment horizontal="center"/>
    </xf>
    <xf numFmtId="0" fontId="2" fillId="7" borderId="64" xfId="0" applyFont="1" applyFill="1" applyBorder="1" applyAlignment="1">
      <alignment horizontal="center"/>
    </xf>
    <xf numFmtId="0" fontId="0" fillId="11" borderId="98" xfId="0" applyFill="1" applyBorder="1" applyAlignment="1">
      <alignment horizontal="center"/>
    </xf>
    <xf numFmtId="0" fontId="0" fillId="11" borderId="74" xfId="0" applyFill="1" applyBorder="1" applyAlignment="1">
      <alignment horizontal="center"/>
    </xf>
    <xf numFmtId="0" fontId="0" fillId="11" borderId="7" xfId="0" applyFill="1" applyBorder="1" applyAlignment="1">
      <alignment horizontal="center"/>
    </xf>
    <xf numFmtId="0" fontId="0" fillId="11" borderId="68" xfId="0" applyFill="1" applyBorder="1" applyAlignment="1">
      <alignment horizontal="center"/>
    </xf>
    <xf numFmtId="0" fontId="0" fillId="11" borderId="64" xfId="0" applyFill="1" applyBorder="1" applyAlignment="1">
      <alignment horizontal="center"/>
    </xf>
    <xf numFmtId="0" fontId="0" fillId="4" borderId="7" xfId="0" applyFill="1" applyBorder="1" applyAlignment="1">
      <alignment horizontal="center" vertical="center"/>
    </xf>
    <xf numFmtId="0" fontId="0" fillId="4" borderId="64" xfId="0" applyFill="1" applyBorder="1" applyAlignment="1">
      <alignment horizontal="center" vertical="center"/>
    </xf>
    <xf numFmtId="0" fontId="26" fillId="18" borderId="61" xfId="0" applyFont="1" applyFill="1" applyBorder="1" applyAlignment="1">
      <alignment horizontal="center"/>
    </xf>
    <xf numFmtId="0" fontId="26" fillId="18" borderId="0" xfId="0" applyFont="1" applyFill="1" applyAlignment="1">
      <alignment horizontal="center"/>
    </xf>
    <xf numFmtId="0" fontId="2" fillId="0" borderId="0" xfId="0" applyFont="1" applyAlignment="1">
      <alignment horizontal="center" vertical="center"/>
    </xf>
    <xf numFmtId="0" fontId="24" fillId="17" borderId="61" xfId="0" applyFont="1" applyFill="1" applyBorder="1" applyAlignment="1">
      <alignment horizontal="center"/>
    </xf>
    <xf numFmtId="0" fontId="24" fillId="17" borderId="0" xfId="0" applyFont="1" applyFill="1" applyAlignment="1">
      <alignment horizontal="center"/>
    </xf>
    <xf numFmtId="0" fontId="0" fillId="17" borderId="80" xfId="0" applyFill="1" applyBorder="1" applyAlignment="1">
      <alignment horizontal="center"/>
    </xf>
    <xf numFmtId="0" fontId="0" fillId="17" borderId="81" xfId="0" applyFill="1" applyBorder="1" applyAlignment="1">
      <alignment horizontal="center"/>
    </xf>
    <xf numFmtId="0" fontId="0" fillId="17" borderId="82" xfId="0" applyFill="1" applyBorder="1" applyAlignment="1">
      <alignment horizontal="center"/>
    </xf>
    <xf numFmtId="0" fontId="23" fillId="0" borderId="0" xfId="0" applyFont="1" applyAlignment="1">
      <alignment horizontal="center"/>
    </xf>
    <xf numFmtId="0" fontId="24" fillId="17" borderId="7" xfId="0" applyFont="1" applyFill="1" applyBorder="1" applyAlignment="1">
      <alignment horizontal="center"/>
    </xf>
    <xf numFmtId="0" fontId="24" fillId="17" borderId="68" xfId="0" applyFont="1" applyFill="1" applyBorder="1" applyAlignment="1">
      <alignment horizontal="center"/>
    </xf>
    <xf numFmtId="0" fontId="24" fillId="17" borderId="64" xfId="0" applyFont="1" applyFill="1" applyBorder="1" applyAlignment="1">
      <alignment horizontal="center"/>
    </xf>
    <xf numFmtId="0" fontId="26" fillId="18" borderId="7" xfId="0" applyFont="1" applyFill="1" applyBorder="1" applyAlignment="1">
      <alignment horizontal="center"/>
    </xf>
    <xf numFmtId="0" fontId="26" fillId="18" borderId="68" xfId="0" applyFont="1" applyFill="1" applyBorder="1" applyAlignment="1">
      <alignment horizontal="center"/>
    </xf>
    <xf numFmtId="0" fontId="26" fillId="18" borderId="64" xfId="0" applyFont="1" applyFill="1" applyBorder="1" applyAlignment="1">
      <alignment horizontal="center"/>
    </xf>
    <xf numFmtId="0" fontId="0" fillId="0" borderId="0" xfId="0" applyAlignment="1">
      <alignment horizontal="justify"/>
    </xf>
    <xf numFmtId="0" fontId="2" fillId="23" borderId="13" xfId="0" applyFont="1" applyFill="1" applyBorder="1" applyAlignment="1">
      <alignment horizontal="center" wrapText="1"/>
    </xf>
    <xf numFmtId="0" fontId="2" fillId="22" borderId="7" xfId="0" applyFont="1" applyFill="1" applyBorder="1" applyAlignment="1">
      <alignment horizontal="center"/>
    </xf>
    <xf numFmtId="0" fontId="2" fillId="22" borderId="68" xfId="0" applyFont="1" applyFill="1" applyBorder="1" applyAlignment="1">
      <alignment horizontal="center"/>
    </xf>
    <xf numFmtId="0" fontId="2" fillId="22" borderId="64" xfId="0" applyFont="1" applyFill="1" applyBorder="1" applyAlignment="1">
      <alignment horizontal="center"/>
    </xf>
    <xf numFmtId="0" fontId="2" fillId="23" borderId="7" xfId="0" applyFont="1" applyFill="1" applyBorder="1" applyAlignment="1">
      <alignment horizontal="center" wrapText="1"/>
    </xf>
    <xf numFmtId="0" fontId="2" fillId="23" borderId="64" xfId="0" applyFont="1" applyFill="1" applyBorder="1" applyAlignment="1">
      <alignment horizontal="center" wrapText="1"/>
    </xf>
    <xf numFmtId="0" fontId="2" fillId="0" borderId="0" xfId="0" applyFont="1" applyAlignment="1">
      <alignment horizontal="center" wrapText="1"/>
    </xf>
    <xf numFmtId="0" fontId="23" fillId="21" borderId="7" xfId="0" applyFont="1" applyFill="1" applyBorder="1" applyAlignment="1">
      <alignment horizontal="center"/>
    </xf>
    <xf numFmtId="0" fontId="23" fillId="21" borderId="68" xfId="0" applyFont="1" applyFill="1" applyBorder="1" applyAlignment="1">
      <alignment horizontal="center"/>
    </xf>
    <xf numFmtId="0" fontId="23" fillId="21" borderId="64" xfId="0" applyFont="1" applyFill="1" applyBorder="1" applyAlignment="1">
      <alignment horizontal="center"/>
    </xf>
    <xf numFmtId="0" fontId="2" fillId="9" borderId="16" xfId="0" applyFont="1" applyFill="1" applyBorder="1" applyAlignment="1">
      <alignment horizontal="center" vertical="center" wrapText="1"/>
    </xf>
    <xf numFmtId="0" fontId="2" fillId="9" borderId="58" xfId="0" applyFont="1" applyFill="1" applyBorder="1" applyAlignment="1">
      <alignment horizontal="center" vertical="center"/>
    </xf>
    <xf numFmtId="0" fontId="2" fillId="9" borderId="14" xfId="0" applyFont="1" applyFill="1" applyBorder="1" applyAlignment="1">
      <alignment horizontal="center" vertical="center"/>
    </xf>
    <xf numFmtId="0" fontId="2" fillId="5" borderId="13" xfId="0" applyFont="1" applyFill="1" applyBorder="1" applyAlignment="1">
      <alignment horizontal="center"/>
    </xf>
    <xf numFmtId="0" fontId="2" fillId="5" borderId="7" xfId="0" applyFont="1" applyFill="1" applyBorder="1" applyAlignment="1">
      <alignment horizontal="center"/>
    </xf>
    <xf numFmtId="0" fontId="2" fillId="5" borderId="68" xfId="0" applyFont="1" applyFill="1" applyBorder="1" applyAlignment="1">
      <alignment horizontal="center"/>
    </xf>
    <xf numFmtId="0" fontId="2" fillId="5" borderId="64" xfId="0" applyFont="1" applyFill="1" applyBorder="1" applyAlignment="1">
      <alignment horizontal="center"/>
    </xf>
    <xf numFmtId="0" fontId="2" fillId="22" borderId="13" xfId="0" applyFont="1" applyFill="1" applyBorder="1" applyAlignment="1">
      <alignment horizontal="center"/>
    </xf>
    <xf numFmtId="0" fontId="2" fillId="4" borderId="16" xfId="0" applyFont="1" applyFill="1" applyBorder="1" applyAlignment="1">
      <alignment horizontal="center" vertical="center" wrapText="1"/>
    </xf>
    <xf numFmtId="0" fontId="2" fillId="4" borderId="58" xfId="0" applyFont="1" applyFill="1" applyBorder="1" applyAlignment="1">
      <alignment horizontal="center" vertical="center"/>
    </xf>
    <xf numFmtId="0" fontId="2" fillId="4" borderId="14" xfId="0" applyFont="1" applyFill="1" applyBorder="1" applyAlignment="1">
      <alignment horizontal="center" vertical="center"/>
    </xf>
    <xf numFmtId="0" fontId="2" fillId="23" borderId="68" xfId="0" applyFont="1" applyFill="1" applyBorder="1" applyAlignment="1">
      <alignment horizontal="center" wrapText="1"/>
    </xf>
    <xf numFmtId="0" fontId="23" fillId="10" borderId="7" xfId="0" applyFont="1" applyFill="1" applyBorder="1" applyAlignment="1">
      <alignment horizontal="center"/>
    </xf>
    <xf numFmtId="0" fontId="23" fillId="10" borderId="68" xfId="0" applyFont="1" applyFill="1" applyBorder="1" applyAlignment="1">
      <alignment horizontal="center"/>
    </xf>
    <xf numFmtId="0" fontId="23" fillId="10" borderId="64" xfId="0" applyFont="1" applyFill="1" applyBorder="1" applyAlignment="1">
      <alignment horizontal="center"/>
    </xf>
    <xf numFmtId="0" fontId="2" fillId="9" borderId="58" xfId="0" applyFont="1" applyFill="1" applyBorder="1" applyAlignment="1">
      <alignment horizontal="center" vertical="center" wrapText="1"/>
    </xf>
    <xf numFmtId="0" fontId="2" fillId="9" borderId="14" xfId="0" applyFont="1" applyFill="1" applyBorder="1" applyAlignment="1">
      <alignment horizontal="center" vertical="center" wrapText="1"/>
    </xf>
    <xf numFmtId="0" fontId="0" fillId="0" borderId="7" xfId="0" applyBorder="1" applyAlignment="1">
      <alignment horizontal="center"/>
    </xf>
    <xf numFmtId="0" fontId="0" fillId="0" borderId="68" xfId="0" applyBorder="1" applyAlignment="1">
      <alignment horizontal="center"/>
    </xf>
    <xf numFmtId="0" fontId="0" fillId="0" borderId="64" xfId="0" applyBorder="1" applyAlignment="1">
      <alignment horizontal="center"/>
    </xf>
    <xf numFmtId="0" fontId="2" fillId="2" borderId="7" xfId="0" applyFont="1" applyFill="1" applyBorder="1" applyAlignment="1">
      <alignment horizontal="center"/>
    </xf>
    <xf numFmtId="0" fontId="2" fillId="2" borderId="68" xfId="0" applyFont="1" applyFill="1" applyBorder="1" applyAlignment="1">
      <alignment horizontal="center"/>
    </xf>
    <xf numFmtId="0" fontId="2" fillId="2" borderId="64" xfId="0" applyFont="1" applyFill="1" applyBorder="1" applyAlignment="1">
      <alignment horizontal="center"/>
    </xf>
    <xf numFmtId="0" fontId="2" fillId="6" borderId="60" xfId="0" applyFont="1" applyFill="1" applyBorder="1" applyAlignment="1">
      <alignment horizontal="center"/>
    </xf>
    <xf numFmtId="0" fontId="2" fillId="6" borderId="78" xfId="0" applyFont="1" applyFill="1" applyBorder="1" applyAlignment="1">
      <alignment horizontal="center"/>
    </xf>
    <xf numFmtId="0" fontId="2" fillId="3" borderId="106" xfId="0" applyFont="1" applyFill="1" applyBorder="1" applyAlignment="1">
      <alignment horizontal="center"/>
    </xf>
    <xf numFmtId="0" fontId="2" fillId="3" borderId="76" xfId="0" applyFont="1" applyFill="1" applyBorder="1" applyAlignment="1">
      <alignment horizontal="center"/>
    </xf>
    <xf numFmtId="0" fontId="26" fillId="0" borderId="74" xfId="0" applyFont="1" applyBorder="1" applyAlignment="1">
      <alignment horizontal="center"/>
    </xf>
    <xf numFmtId="0" fontId="26" fillId="0" borderId="99" xfId="0" applyFont="1" applyBorder="1" applyAlignment="1">
      <alignment horizontal="center"/>
    </xf>
    <xf numFmtId="0" fontId="26" fillId="0" borderId="7" xfId="0" applyFont="1" applyBorder="1" applyAlignment="1">
      <alignment horizontal="center"/>
    </xf>
    <xf numFmtId="0" fontId="26" fillId="0" borderId="68" xfId="0" applyFont="1" applyBorder="1" applyAlignment="1">
      <alignment horizontal="center"/>
    </xf>
    <xf numFmtId="0" fontId="26" fillId="0" borderId="64" xfId="0" applyFont="1" applyBorder="1" applyAlignment="1">
      <alignment horizontal="center"/>
    </xf>
    <xf numFmtId="0" fontId="0" fillId="0" borderId="16" xfId="0" applyBorder="1" applyAlignment="1">
      <alignment horizontal="center"/>
    </xf>
    <xf numFmtId="0" fontId="0" fillId="0" borderId="14" xfId="0" applyBorder="1" applyAlignment="1">
      <alignment horizontal="center"/>
    </xf>
    <xf numFmtId="0" fontId="34" fillId="0" borderId="60" xfId="0" applyFont="1" applyBorder="1" applyAlignment="1">
      <alignment horizontal="center" vertical="center"/>
    </xf>
    <xf numFmtId="0" fontId="34" fillId="0" borderId="101" xfId="0" applyFont="1" applyBorder="1" applyAlignment="1">
      <alignment horizontal="center" vertical="center"/>
    </xf>
    <xf numFmtId="0" fontId="34" fillId="0" borderId="98" xfId="0" applyFont="1" applyBorder="1" applyAlignment="1">
      <alignment horizontal="center" vertical="center"/>
    </xf>
    <xf numFmtId="0" fontId="34" fillId="0" borderId="99" xfId="0" applyFont="1" applyBorder="1" applyAlignment="1">
      <alignment horizontal="center" vertical="center"/>
    </xf>
    <xf numFmtId="0" fontId="34" fillId="9" borderId="16" xfId="0" applyFont="1" applyFill="1" applyBorder="1" applyAlignment="1">
      <alignment horizontal="center" vertical="center"/>
    </xf>
    <xf numFmtId="0" fontId="34" fillId="9" borderId="14" xfId="0" applyFont="1" applyFill="1" applyBorder="1" applyAlignment="1">
      <alignment horizontal="center" vertical="center"/>
    </xf>
    <xf numFmtId="0" fontId="34" fillId="7" borderId="16" xfId="0" applyFont="1" applyFill="1" applyBorder="1" applyAlignment="1">
      <alignment horizontal="center" vertical="center"/>
    </xf>
    <xf numFmtId="0" fontId="34" fillId="7" borderId="14" xfId="0" applyFont="1" applyFill="1" applyBorder="1" applyAlignment="1">
      <alignment horizontal="center" vertical="center"/>
    </xf>
    <xf numFmtId="0" fontId="34" fillId="14" borderId="60" xfId="0" applyFont="1" applyFill="1" applyBorder="1" applyAlignment="1">
      <alignment horizontal="center" vertical="center"/>
    </xf>
    <xf numFmtId="0" fontId="34" fillId="14" borderId="98" xfId="0" applyFont="1" applyFill="1" applyBorder="1" applyAlignment="1">
      <alignment horizontal="center" vertical="center"/>
    </xf>
    <xf numFmtId="0" fontId="2" fillId="0" borderId="35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0" fillId="9" borderId="16" xfId="0" applyFill="1" applyBorder="1" applyAlignment="1">
      <alignment horizontal="center" wrapText="1"/>
    </xf>
    <xf numFmtId="0" fontId="0" fillId="9" borderId="14" xfId="0" applyFill="1" applyBorder="1" applyAlignment="1">
      <alignment horizontal="center"/>
    </xf>
    <xf numFmtId="0" fontId="34" fillId="0" borderId="16" xfId="0" applyFont="1" applyBorder="1" applyAlignment="1">
      <alignment horizontal="center" vertical="center"/>
    </xf>
    <xf numFmtId="0" fontId="34" fillId="0" borderId="14" xfId="0" applyFont="1" applyBorder="1" applyAlignment="1">
      <alignment horizontal="center" vertical="center"/>
    </xf>
    <xf numFmtId="0" fontId="0" fillId="24" borderId="35" xfId="0" applyFill="1" applyBorder="1" applyAlignment="1">
      <alignment horizontal="center"/>
    </xf>
    <xf numFmtId="0" fontId="0" fillId="24" borderId="10" xfId="0" applyFill="1" applyBorder="1" applyAlignment="1">
      <alignment horizontal="center"/>
    </xf>
    <xf numFmtId="0" fontId="0" fillId="24" borderId="60" xfId="0" applyFill="1" applyBorder="1" applyAlignment="1">
      <alignment horizontal="center" vertical="center"/>
    </xf>
    <xf numFmtId="0" fontId="0" fillId="24" borderId="106" xfId="0" applyFill="1" applyBorder="1" applyAlignment="1">
      <alignment horizontal="center" vertical="center"/>
    </xf>
    <xf numFmtId="3" fontId="0" fillId="24" borderId="10" xfId="0" applyNumberFormat="1" applyFill="1" applyBorder="1" applyAlignment="1">
      <alignment horizontal="center" vertical="center"/>
    </xf>
    <xf numFmtId="0" fontId="0" fillId="24" borderId="10" xfId="0" applyFill="1" applyBorder="1" applyAlignment="1">
      <alignment horizontal="center" vertical="center"/>
    </xf>
    <xf numFmtId="0" fontId="0" fillId="0" borderId="35" xfId="0" applyBorder="1" applyAlignment="1">
      <alignment horizontal="center"/>
    </xf>
    <xf numFmtId="0" fontId="0" fillId="0" borderId="10" xfId="0" applyBorder="1" applyAlignment="1">
      <alignment horizontal="center"/>
    </xf>
    <xf numFmtId="3" fontId="0" fillId="4" borderId="88" xfId="0" applyNumberFormat="1" applyFill="1" applyBorder="1" applyAlignment="1">
      <alignment horizontal="center" vertical="center"/>
    </xf>
    <xf numFmtId="3" fontId="0" fillId="4" borderId="12" xfId="0" applyNumberFormat="1" applyFill="1" applyBorder="1" applyAlignment="1">
      <alignment horizontal="center" vertical="center"/>
    </xf>
    <xf numFmtId="0" fontId="18" fillId="4" borderId="104" xfId="0" applyFont="1" applyFill="1" applyBorder="1" applyAlignment="1">
      <alignment horizontal="center" vertical="center"/>
    </xf>
    <xf numFmtId="0" fontId="18" fillId="4" borderId="106" xfId="0" applyFont="1" applyFill="1" applyBorder="1" applyAlignment="1">
      <alignment horizontal="center" vertical="center"/>
    </xf>
    <xf numFmtId="0" fontId="0" fillId="7" borderId="35" xfId="0" applyFill="1" applyBorder="1" applyAlignment="1">
      <alignment horizontal="center" wrapText="1"/>
    </xf>
    <xf numFmtId="0" fontId="0" fillId="7" borderId="11" xfId="0" applyFill="1" applyBorder="1" applyAlignment="1">
      <alignment horizontal="center"/>
    </xf>
    <xf numFmtId="0" fontId="0" fillId="0" borderId="60" xfId="0" applyBorder="1" applyAlignment="1">
      <alignment horizontal="center" vertical="center"/>
    </xf>
    <xf numFmtId="0" fontId="0" fillId="0" borderId="61" xfId="0" applyBorder="1" applyAlignment="1">
      <alignment horizontal="center" vertical="center"/>
    </xf>
    <xf numFmtId="3" fontId="0" fillId="0" borderId="10" xfId="0" applyNumberFormat="1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3" fontId="0" fillId="24" borderId="35" xfId="0" applyNumberFormat="1" applyFill="1" applyBorder="1" applyAlignment="1">
      <alignment horizontal="center" vertical="center" wrapText="1"/>
    </xf>
    <xf numFmtId="3" fontId="0" fillId="24" borderId="12" xfId="0" applyNumberFormat="1" applyFill="1" applyBorder="1" applyAlignment="1">
      <alignment horizontal="center" vertical="center" wrapText="1"/>
    </xf>
    <xf numFmtId="0" fontId="0" fillId="0" borderId="104" xfId="0" applyBorder="1" applyAlignment="1">
      <alignment horizontal="center" vertical="center"/>
    </xf>
    <xf numFmtId="0" fontId="0" fillId="0" borderId="106" xfId="0" applyBorder="1" applyAlignment="1">
      <alignment horizontal="center" vertical="center"/>
    </xf>
    <xf numFmtId="3" fontId="0" fillId="24" borderId="10" xfId="0" applyNumberFormat="1" applyFill="1" applyBorder="1" applyAlignment="1">
      <alignment horizontal="center" vertical="center" wrapText="1"/>
    </xf>
    <xf numFmtId="3" fontId="0" fillId="0" borderId="10" xfId="0" applyNumberFormat="1" applyBorder="1" applyAlignment="1">
      <alignment horizontal="center" vertical="center" wrapText="1"/>
    </xf>
    <xf numFmtId="0" fontId="0" fillId="0" borderId="58" xfId="0" applyBorder="1" applyAlignment="1">
      <alignment horizontal="center"/>
    </xf>
    <xf numFmtId="3" fontId="0" fillId="24" borderId="88" xfId="0" applyNumberFormat="1" applyFill="1" applyBorder="1" applyAlignment="1">
      <alignment horizontal="center" vertical="center"/>
    </xf>
    <xf numFmtId="3" fontId="0" fillId="24" borderId="12" xfId="0" applyNumberFormat="1" applyFill="1" applyBorder="1" applyAlignment="1">
      <alignment horizontal="center" vertical="center"/>
    </xf>
    <xf numFmtId="0" fontId="18" fillId="24" borderId="104" xfId="0" applyFont="1" applyFill="1" applyBorder="1" applyAlignment="1">
      <alignment horizontal="center" vertical="center"/>
    </xf>
    <xf numFmtId="0" fontId="18" fillId="24" borderId="106" xfId="0" applyFont="1" applyFill="1" applyBorder="1" applyAlignment="1">
      <alignment horizontal="center" vertical="center"/>
    </xf>
    <xf numFmtId="0" fontId="18" fillId="24" borderId="60" xfId="0" applyFont="1" applyFill="1" applyBorder="1" applyAlignment="1">
      <alignment horizontal="center" vertical="center"/>
    </xf>
    <xf numFmtId="0" fontId="0" fillId="24" borderId="104" xfId="0" applyFill="1" applyBorder="1" applyAlignment="1">
      <alignment horizontal="center" vertical="center"/>
    </xf>
    <xf numFmtId="3" fontId="0" fillId="4" borderId="10" xfId="0" applyNumberFormat="1" applyFill="1" applyBorder="1" applyAlignment="1">
      <alignment horizontal="center" vertical="center" wrapText="1"/>
    </xf>
    <xf numFmtId="0" fontId="0" fillId="4" borderId="10" xfId="0" applyFill="1" applyBorder="1" applyAlignment="1">
      <alignment horizontal="center" vertical="center"/>
    </xf>
    <xf numFmtId="3" fontId="0" fillId="0" borderId="88" xfId="0" applyNumberFormat="1" applyBorder="1" applyAlignment="1">
      <alignment horizontal="center" vertical="center"/>
    </xf>
    <xf numFmtId="3" fontId="0" fillId="0" borderId="12" xfId="0" applyNumberFormat="1" applyBorder="1" applyAlignment="1">
      <alignment horizontal="center" vertical="center"/>
    </xf>
    <xf numFmtId="0" fontId="0" fillId="4" borderId="10" xfId="0" applyFill="1" applyBorder="1" applyAlignment="1">
      <alignment horizontal="center"/>
    </xf>
    <xf numFmtId="0" fontId="0" fillId="4" borderId="104" xfId="0" applyFill="1" applyBorder="1" applyAlignment="1">
      <alignment horizontal="center" vertical="center"/>
    </xf>
    <xf numFmtId="0" fontId="0" fillId="4" borderId="106" xfId="0" applyFill="1" applyBorder="1" applyAlignment="1">
      <alignment horizontal="center" vertical="center"/>
    </xf>
    <xf numFmtId="3" fontId="0" fillId="4" borderId="10" xfId="0" applyNumberFormat="1" applyFill="1" applyBorder="1" applyAlignment="1">
      <alignment horizontal="center" vertical="center"/>
    </xf>
    <xf numFmtId="0" fontId="0" fillId="0" borderId="114" xfId="0" applyBorder="1" applyAlignment="1">
      <alignment horizontal="center"/>
    </xf>
    <xf numFmtId="0" fontId="0" fillId="0" borderId="115" xfId="0" applyBorder="1" applyAlignment="1">
      <alignment horizontal="center"/>
    </xf>
    <xf numFmtId="0" fontId="0" fillId="0" borderId="116" xfId="0" applyBorder="1" applyAlignment="1">
      <alignment horizontal="center"/>
    </xf>
    <xf numFmtId="0" fontId="0" fillId="0" borderId="11" xfId="0" applyBorder="1" applyAlignment="1">
      <alignment horizontal="center" vertical="center"/>
    </xf>
    <xf numFmtId="0" fontId="0" fillId="0" borderId="11" xfId="0" applyBorder="1" applyAlignment="1">
      <alignment horizontal="center"/>
    </xf>
    <xf numFmtId="0" fontId="24" fillId="0" borderId="0" xfId="0" applyFont="1" applyAlignment="1">
      <alignment horizontal="center" vertical="center"/>
    </xf>
    <xf numFmtId="0" fontId="2" fillId="0" borderId="120" xfId="0" applyFont="1" applyBorder="1" applyAlignment="1">
      <alignment horizontal="center"/>
    </xf>
    <xf numFmtId="0" fontId="2" fillId="0" borderId="121" xfId="0" applyFont="1" applyBorder="1" applyAlignment="1">
      <alignment horizontal="center"/>
    </xf>
    <xf numFmtId="0" fontId="2" fillId="0" borderId="122" xfId="0" applyFont="1" applyBorder="1" applyAlignment="1">
      <alignment horizontal="center"/>
    </xf>
  </cellXfs>
  <cellStyles count="16">
    <cellStyle name="Ezres" xfId="14" builtinId="3"/>
    <cellStyle name="Normál" xfId="0" builtinId="0"/>
    <cellStyle name="Normál 10" xfId="12"/>
    <cellStyle name="Normál 11" xfId="13"/>
    <cellStyle name="Normál 12" xfId="15"/>
    <cellStyle name="Normal 2" xfId="1"/>
    <cellStyle name="Normál 2" xfId="3"/>
    <cellStyle name="Normal 2 2" xfId="2"/>
    <cellStyle name="Normál 2 2" xfId="4"/>
    <cellStyle name="Normál 3" xfId="9"/>
    <cellStyle name="Normál 4" xfId="6"/>
    <cellStyle name="Normál 5" xfId="5"/>
    <cellStyle name="Normál 6" xfId="8"/>
    <cellStyle name="Normál 7" xfId="7"/>
    <cellStyle name="Normál 8" xfId="10"/>
    <cellStyle name="Normál 9" xfId="11"/>
  </cellStyles>
  <dxfs count="0"/>
  <tableStyles count="0" defaultTableStyle="TableStyleMedium2" defaultPivotStyle="PivotStyleLight16"/>
  <colors>
    <mruColors>
      <color rgb="FFDDDDDD"/>
      <color rgb="FFD1FFD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externalLink" Target="externalLinks/externalLink7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externalLink" Target="externalLinks/externalLink2.xml"/><Relationship Id="rId42" Type="http://schemas.openxmlformats.org/officeDocument/2006/relationships/externalLink" Target="externalLinks/externalLink10.xml"/><Relationship Id="rId47" Type="http://schemas.openxmlformats.org/officeDocument/2006/relationships/externalLink" Target="externalLinks/externalLink15.xml"/><Relationship Id="rId50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externalLink" Target="externalLinks/externalLink1.xml"/><Relationship Id="rId38" Type="http://schemas.openxmlformats.org/officeDocument/2006/relationships/externalLink" Target="externalLinks/externalLink6.xml"/><Relationship Id="rId46" Type="http://schemas.openxmlformats.org/officeDocument/2006/relationships/externalLink" Target="externalLinks/externalLink14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externalLink" Target="externalLinks/externalLink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externalLink" Target="externalLinks/externalLink5.xml"/><Relationship Id="rId40" Type="http://schemas.openxmlformats.org/officeDocument/2006/relationships/externalLink" Target="externalLinks/externalLink8.xml"/><Relationship Id="rId45" Type="http://schemas.openxmlformats.org/officeDocument/2006/relationships/externalLink" Target="externalLinks/externalLink13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externalLink" Target="externalLinks/externalLink4.xml"/><Relationship Id="rId49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externalLink" Target="externalLinks/externalLink12.xml"/><Relationship Id="rId52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externalLink" Target="externalLinks/externalLink3.xml"/><Relationship Id="rId43" Type="http://schemas.openxmlformats.org/officeDocument/2006/relationships/externalLink" Target="externalLinks/externalLink11.xml"/><Relationship Id="rId48" Type="http://schemas.openxmlformats.org/officeDocument/2006/relationships/externalLink" Target="externalLinks/externalLink16.xml"/><Relationship Id="rId8" Type="http://schemas.openxmlformats.org/officeDocument/2006/relationships/worksheet" Target="worksheets/sheet8.xml"/><Relationship Id="rId51" Type="http://schemas.openxmlformats.org/officeDocument/2006/relationships/sharedStrings" Target="sharedStrings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11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12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13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14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.xml"/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16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8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19.xml.rels><?xml version="1.0" encoding="UTF-8" standalone="yes"?>
<Relationships xmlns="http://schemas.openxmlformats.org/package/2006/relationships"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_rels/chart20.xml.rels><?xml version="1.0" encoding="UTF-8" standalone="yes"?>
<Relationships xmlns="http://schemas.openxmlformats.org/package/2006/relationships"><Relationship Id="rId2" Type="http://schemas.microsoft.com/office/2011/relationships/chartColorStyle" Target="colors12.xml"/><Relationship Id="rId1" Type="http://schemas.microsoft.com/office/2011/relationships/chartStyle" Target="style12.xml"/></Relationships>
</file>

<file path=xl/charts/_rels/chart21.xml.rels><?xml version="1.0" encoding="UTF-8" standalone="yes"?>
<Relationships xmlns="http://schemas.openxmlformats.org/package/2006/relationships"><Relationship Id="rId2" Type="http://schemas.microsoft.com/office/2011/relationships/chartColorStyle" Target="colors13.xml"/><Relationship Id="rId1" Type="http://schemas.microsoft.com/office/2011/relationships/chartStyle" Target="style13.xml"/></Relationships>
</file>

<file path=xl/charts/_rels/chart22.xml.rels><?xml version="1.0" encoding="UTF-8" standalone="yes"?>
<Relationships xmlns="http://schemas.openxmlformats.org/package/2006/relationships"><Relationship Id="rId2" Type="http://schemas.microsoft.com/office/2011/relationships/chartColorStyle" Target="colors14.xml"/><Relationship Id="rId1" Type="http://schemas.microsoft.com/office/2011/relationships/chartStyle" Target="style14.xml"/></Relationships>
</file>

<file path=xl/charts/_rels/chart23.xml.rels><?xml version="1.0" encoding="UTF-8" standalone="yes"?>
<Relationships xmlns="http://schemas.openxmlformats.org/package/2006/relationships"><Relationship Id="rId2" Type="http://schemas.microsoft.com/office/2011/relationships/chartColorStyle" Target="colors15.xml"/><Relationship Id="rId1" Type="http://schemas.microsoft.com/office/2011/relationships/chartStyle" Target="style15.xml"/></Relationships>
</file>

<file path=xl/charts/_rels/chart31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2.xml"/></Relationships>
</file>

<file path=xl/charts/_rels/chart34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3.xml"/></Relationships>
</file>

<file path=xl/charts/_rels/chart53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4.xml"/></Relationships>
</file>

<file path=xl/charts/_rels/chart54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5.xml"/></Relationships>
</file>

<file path=xl/charts/_rels/chart59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6.xml"/></Relationships>
</file>

<file path=xl/charts/_rels/chart60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7.xml"/></Relationships>
</file>

<file path=xl/charts/_rels/chart61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8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hu-H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'2. ábra'!$A$34</c:f>
              <c:strCache>
                <c:ptCount val="1"/>
                <c:pt idx="0">
                  <c:v>Mgi hitel összes (milliárd forint)</c:v>
                </c:pt>
              </c:strCache>
            </c:strRef>
          </c:tx>
          <c:spPr>
            <a:solidFill>
              <a:schemeClr val="accent3">
                <a:lumMod val="60000"/>
                <a:lumOff val="40000"/>
              </a:schemeClr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 sz="900" b="1"/>
                </a:pPr>
                <a:endParaRPr lang="hu-HU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'2. ábra'!$B$33:$J$33</c:f>
              <c:strCache>
                <c:ptCount val="9"/>
                <c:pt idx="0">
                  <c:v>2023. I.</c:v>
                </c:pt>
                <c:pt idx="1">
                  <c:v>2023. II.</c:v>
                </c:pt>
                <c:pt idx="2">
                  <c:v>2023. III.</c:v>
                </c:pt>
                <c:pt idx="3">
                  <c:v>2023. IV. </c:v>
                </c:pt>
                <c:pt idx="4">
                  <c:v>2024. I.</c:v>
                </c:pt>
                <c:pt idx="5">
                  <c:v>2024. II.</c:v>
                </c:pt>
                <c:pt idx="6">
                  <c:v>2024. III.</c:v>
                </c:pt>
                <c:pt idx="7">
                  <c:v>2024. IV.</c:v>
                </c:pt>
                <c:pt idx="8">
                  <c:v>2025. I. </c:v>
                </c:pt>
              </c:strCache>
            </c:strRef>
          </c:cat>
          <c:val>
            <c:numRef>
              <c:f>'2. ábra'!$B$34:$J$34</c:f>
              <c:numCache>
                <c:formatCode>#\ ##0.0</c:formatCode>
                <c:ptCount val="9"/>
                <c:pt idx="0">
                  <c:v>983.80523750700002</c:v>
                </c:pt>
                <c:pt idx="1">
                  <c:v>1043.927105897</c:v>
                </c:pt>
                <c:pt idx="2">
                  <c:v>1065.7466073100002</c:v>
                </c:pt>
                <c:pt idx="3">
                  <c:v>1057.2008647499999</c:v>
                </c:pt>
                <c:pt idx="4">
                  <c:v>1064.7874670839999</c:v>
                </c:pt>
                <c:pt idx="5">
                  <c:v>1072.2702663080001</c:v>
                </c:pt>
                <c:pt idx="6">
                  <c:v>1060.7878642210001</c:v>
                </c:pt>
                <c:pt idx="7">
                  <c:v>1048.1778728480001</c:v>
                </c:pt>
                <c:pt idx="8">
                  <c:v>1001.193097481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83D9-4E92-B48D-C474922F062E}"/>
            </c:ext>
          </c:extLst>
        </c:ser>
        <c:ser>
          <c:idx val="1"/>
          <c:order val="1"/>
          <c:tx>
            <c:strRef>
              <c:f>'2. ábra'!$A$35</c:f>
              <c:strCache>
                <c:ptCount val="1"/>
                <c:pt idx="0">
                  <c:v>Élip hitel összes (milliárd forint)</c:v>
                </c:pt>
              </c:strCache>
            </c:strRef>
          </c:tx>
          <c:spPr>
            <a:solidFill>
              <a:schemeClr val="accent1">
                <a:lumMod val="60000"/>
                <a:lumOff val="40000"/>
              </a:schemeClr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 sz="900" b="1"/>
                </a:pPr>
                <a:endParaRPr lang="hu-HU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'2. ábra'!$B$33:$J$33</c:f>
              <c:strCache>
                <c:ptCount val="9"/>
                <c:pt idx="0">
                  <c:v>2023. I.</c:v>
                </c:pt>
                <c:pt idx="1">
                  <c:v>2023. II.</c:v>
                </c:pt>
                <c:pt idx="2">
                  <c:v>2023. III.</c:v>
                </c:pt>
                <c:pt idx="3">
                  <c:v>2023. IV. </c:v>
                </c:pt>
                <c:pt idx="4">
                  <c:v>2024. I.</c:v>
                </c:pt>
                <c:pt idx="5">
                  <c:v>2024. II.</c:v>
                </c:pt>
                <c:pt idx="6">
                  <c:v>2024. III.</c:v>
                </c:pt>
                <c:pt idx="7">
                  <c:v>2024. IV.</c:v>
                </c:pt>
                <c:pt idx="8">
                  <c:v>2025. I. </c:v>
                </c:pt>
              </c:strCache>
            </c:strRef>
          </c:cat>
          <c:val>
            <c:numRef>
              <c:f>'2. ábra'!$B$35:$J$35</c:f>
              <c:numCache>
                <c:formatCode>#\ ##0.0</c:formatCode>
                <c:ptCount val="9"/>
                <c:pt idx="0">
                  <c:v>744.70807312099998</c:v>
                </c:pt>
                <c:pt idx="1">
                  <c:v>731.63565528200002</c:v>
                </c:pt>
                <c:pt idx="2">
                  <c:v>758.39758396800005</c:v>
                </c:pt>
                <c:pt idx="3">
                  <c:v>749.51434033599992</c:v>
                </c:pt>
                <c:pt idx="4">
                  <c:v>742.5295085539999</c:v>
                </c:pt>
                <c:pt idx="5">
                  <c:v>705.80439691000004</c:v>
                </c:pt>
                <c:pt idx="6">
                  <c:v>721.10917214699998</c:v>
                </c:pt>
                <c:pt idx="7">
                  <c:v>756.003716833</c:v>
                </c:pt>
                <c:pt idx="8">
                  <c:v>710.60067688099991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83D9-4E92-B48D-C474922F062E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497750920"/>
        <c:axId val="497751312"/>
      </c:barChart>
      <c:catAx>
        <c:axId val="497750920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1000"/>
            </a:pPr>
            <a:endParaRPr lang="hu-HU"/>
          </a:p>
        </c:txPr>
        <c:crossAx val="497751312"/>
        <c:crosses val="autoZero"/>
        <c:auto val="1"/>
        <c:lblAlgn val="ctr"/>
        <c:lblOffset val="100"/>
        <c:noMultiLvlLbl val="0"/>
      </c:catAx>
      <c:valAx>
        <c:axId val="497751312"/>
        <c:scaling>
          <c:orientation val="minMax"/>
        </c:scaling>
        <c:delete val="0"/>
        <c:axPos val="l"/>
        <c:majorGridlines/>
        <c:numFmt formatCode="#\ ##0.0" sourceLinked="1"/>
        <c:majorTickMark val="out"/>
        <c:minorTickMark val="none"/>
        <c:tickLblPos val="nextTo"/>
        <c:txPr>
          <a:bodyPr/>
          <a:lstStyle/>
          <a:p>
            <a:pPr>
              <a:defRPr sz="1000"/>
            </a:pPr>
            <a:endParaRPr lang="hu-HU"/>
          </a:p>
        </c:txPr>
        <c:crossAx val="497750920"/>
        <c:crosses val="autoZero"/>
        <c:crossBetween val="between"/>
      </c:valAx>
    </c:plotArea>
    <c:legend>
      <c:legendPos val="b"/>
      <c:overlay val="0"/>
      <c:txPr>
        <a:bodyPr/>
        <a:lstStyle/>
        <a:p>
          <a:pPr>
            <a:defRPr sz="1000"/>
          </a:pPr>
          <a:endParaRPr lang="hu-HU"/>
        </a:p>
      </c:txPr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800">
          <a:solidFill>
            <a:schemeClr val="tx1"/>
          </a:solidFill>
          <a:latin typeface="Times New Roman" panose="02020603050405020304" pitchFamily="18" charset="0"/>
          <a:cs typeface="Times New Roman" panose="02020603050405020304" pitchFamily="18" charset="0"/>
        </a:defRPr>
      </a:pPr>
      <a:endParaRPr lang="hu-HU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hu-H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'3. ábra'!$A$3</c:f>
              <c:strCache>
                <c:ptCount val="1"/>
                <c:pt idx="0">
                  <c:v>Mgi hitel aránya/agrár összes (%)</c:v>
                </c:pt>
              </c:strCache>
            </c:strRef>
          </c:tx>
          <c:spPr>
            <a:solidFill>
              <a:schemeClr val="accent2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 b="1"/>
                </a:pPr>
                <a:endParaRPr lang="hu-HU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'3. ábra'!$B$2:$J$2</c:f>
              <c:strCache>
                <c:ptCount val="9"/>
                <c:pt idx="0">
                  <c:v>2023. I.</c:v>
                </c:pt>
                <c:pt idx="1">
                  <c:v>2023. II.</c:v>
                </c:pt>
                <c:pt idx="2">
                  <c:v>2023. III.</c:v>
                </c:pt>
                <c:pt idx="3">
                  <c:v>2023. IV.</c:v>
                </c:pt>
                <c:pt idx="4">
                  <c:v>2024. I.</c:v>
                </c:pt>
                <c:pt idx="5">
                  <c:v>2024. II.</c:v>
                </c:pt>
                <c:pt idx="6">
                  <c:v>2024. III.</c:v>
                </c:pt>
                <c:pt idx="7">
                  <c:v>2024. IV.</c:v>
                </c:pt>
                <c:pt idx="8">
                  <c:v>2025. I. </c:v>
                </c:pt>
              </c:strCache>
            </c:strRef>
          </c:cat>
          <c:val>
            <c:numRef>
              <c:f>'3. ábra'!$B$3:$J$3</c:f>
              <c:numCache>
                <c:formatCode>#,##0.00</c:formatCode>
                <c:ptCount val="9"/>
                <c:pt idx="0">
                  <c:v>56.91626621894892</c:v>
                </c:pt>
                <c:pt idx="1">
                  <c:v>58.794154097026507</c:v>
                </c:pt>
                <c:pt idx="2">
                  <c:v>58.424471727935902</c:v>
                </c:pt>
                <c:pt idx="3">
                  <c:v>58.515080947673603</c:v>
                </c:pt>
                <c:pt idx="4">
                  <c:v>58.915369104421757</c:v>
                </c:pt>
                <c:pt idx="5">
                  <c:v>60.305131639825568</c:v>
                </c:pt>
                <c:pt idx="6">
                  <c:v>59.531378220549705</c:v>
                </c:pt>
                <c:pt idx="7">
                  <c:v>58.097138272723967</c:v>
                </c:pt>
                <c:pt idx="8">
                  <c:v>58.487950620929972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CF04-45CF-9FBE-AE8BB1027527}"/>
            </c:ext>
          </c:extLst>
        </c:ser>
        <c:ser>
          <c:idx val="1"/>
          <c:order val="1"/>
          <c:tx>
            <c:strRef>
              <c:f>'3. ábra'!$A$4</c:f>
              <c:strCache>
                <c:ptCount val="1"/>
                <c:pt idx="0">
                  <c:v>Élip hitel aránya/agrár összes (%)</c:v>
                </c:pt>
              </c:strCache>
            </c:strRef>
          </c:tx>
          <c:spPr>
            <a:solidFill>
              <a:schemeClr val="accent3">
                <a:lumMod val="60000"/>
                <a:lumOff val="40000"/>
              </a:schemeClr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 b="1">
                    <a:solidFill>
                      <a:schemeClr val="tx1"/>
                    </a:solidFill>
                  </a:defRPr>
                </a:pPr>
                <a:endParaRPr lang="hu-HU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'3. ábra'!$B$2:$J$2</c:f>
              <c:strCache>
                <c:ptCount val="9"/>
                <c:pt idx="0">
                  <c:v>2023. I.</c:v>
                </c:pt>
                <c:pt idx="1">
                  <c:v>2023. II.</c:v>
                </c:pt>
                <c:pt idx="2">
                  <c:v>2023. III.</c:v>
                </c:pt>
                <c:pt idx="3">
                  <c:v>2023. IV.</c:v>
                </c:pt>
                <c:pt idx="4">
                  <c:v>2024. I.</c:v>
                </c:pt>
                <c:pt idx="5">
                  <c:v>2024. II.</c:v>
                </c:pt>
                <c:pt idx="6">
                  <c:v>2024. III.</c:v>
                </c:pt>
                <c:pt idx="7">
                  <c:v>2024. IV.</c:v>
                </c:pt>
                <c:pt idx="8">
                  <c:v>2025. I. </c:v>
                </c:pt>
              </c:strCache>
            </c:strRef>
          </c:cat>
          <c:val>
            <c:numRef>
              <c:f>'3. ábra'!$B$4:$J$4</c:f>
              <c:numCache>
                <c:formatCode>0.00</c:formatCode>
                <c:ptCount val="9"/>
                <c:pt idx="0">
                  <c:v>43.08373378105108</c:v>
                </c:pt>
                <c:pt idx="1">
                  <c:v>41.205845902973486</c:v>
                </c:pt>
                <c:pt idx="2">
                  <c:v>41.575528272064105</c:v>
                </c:pt>
                <c:pt idx="3">
                  <c:v>41.484919052326404</c:v>
                </c:pt>
                <c:pt idx="4">
                  <c:v>41.084630895578236</c:v>
                </c:pt>
                <c:pt idx="5">
                  <c:v>39.694868360174432</c:v>
                </c:pt>
                <c:pt idx="6">
                  <c:v>40.468621779450302</c:v>
                </c:pt>
                <c:pt idx="7">
                  <c:v>41.902861727276026</c:v>
                </c:pt>
                <c:pt idx="8">
                  <c:v>41.512049379070028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CF04-45CF-9FBE-AE8BB1027527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100"/>
        <c:axId val="497755232"/>
        <c:axId val="497757976"/>
      </c:barChart>
      <c:catAx>
        <c:axId val="49775523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497757976"/>
        <c:crosses val="autoZero"/>
        <c:auto val="1"/>
        <c:lblAlgn val="ctr"/>
        <c:lblOffset val="100"/>
        <c:noMultiLvlLbl val="0"/>
      </c:catAx>
      <c:valAx>
        <c:axId val="497757976"/>
        <c:scaling>
          <c:orientation val="minMax"/>
          <c:max val="100"/>
        </c:scaling>
        <c:delete val="0"/>
        <c:axPos val="l"/>
        <c:majorGridlines/>
        <c:numFmt formatCode="#,##0.00" sourceLinked="1"/>
        <c:majorTickMark val="out"/>
        <c:minorTickMark val="none"/>
        <c:tickLblPos val="nextTo"/>
        <c:crossAx val="497755232"/>
        <c:crosses val="autoZero"/>
        <c:crossBetween val="between"/>
      </c:valAx>
    </c:plotArea>
    <c:legend>
      <c:legendPos val="b"/>
      <c:overlay val="0"/>
    </c:legend>
    <c:plotVisOnly val="1"/>
    <c:dispBlanksAs val="gap"/>
    <c:showDLblsOverMax val="0"/>
  </c:chart>
  <c:spPr>
    <a:ln>
      <a:noFill/>
    </a:ln>
  </c:spPr>
  <c:txPr>
    <a:bodyPr/>
    <a:lstStyle/>
    <a:p>
      <a:pPr>
        <a:defRPr>
          <a:latin typeface="Times New Roman" panose="02020603050405020304" pitchFamily="18" charset="0"/>
          <a:cs typeface="Times New Roman" panose="02020603050405020304" pitchFamily="18" charset="0"/>
        </a:defRPr>
      </a:pPr>
      <a:endParaRPr lang="hu-HU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hu-H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percentStacked"/>
        <c:varyColors val="0"/>
        <c:ser>
          <c:idx val="0"/>
          <c:order val="0"/>
          <c:tx>
            <c:strRef>
              <c:f>'4. ábra'!$A$8</c:f>
              <c:strCache>
                <c:ptCount val="1"/>
                <c:pt idx="0">
                  <c:v>Egyéni gazdaságok aránya (milliárd forint)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endParaRPr lang="hu-HU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'4. ábra'!$B$7:$J$7</c:f>
              <c:strCache>
                <c:ptCount val="9"/>
                <c:pt idx="0">
                  <c:v>2023. I.</c:v>
                </c:pt>
                <c:pt idx="1">
                  <c:v>2023. II.</c:v>
                </c:pt>
                <c:pt idx="2">
                  <c:v>2023. III.</c:v>
                </c:pt>
                <c:pt idx="3">
                  <c:v>2023. IV.</c:v>
                </c:pt>
                <c:pt idx="4">
                  <c:v>2024. I.</c:v>
                </c:pt>
                <c:pt idx="5">
                  <c:v>2024. II.</c:v>
                </c:pt>
                <c:pt idx="6">
                  <c:v>2024. III.</c:v>
                </c:pt>
                <c:pt idx="7">
                  <c:v>2024. IV.</c:v>
                </c:pt>
                <c:pt idx="8">
                  <c:v>2025. I. </c:v>
                </c:pt>
              </c:strCache>
            </c:strRef>
          </c:cat>
          <c:val>
            <c:numRef>
              <c:f>'4. ábra'!$B$8:$J$8</c:f>
              <c:numCache>
                <c:formatCode>#\ ##0.0</c:formatCode>
                <c:ptCount val="9"/>
                <c:pt idx="0">
                  <c:v>371.12160113499999</c:v>
                </c:pt>
                <c:pt idx="1">
                  <c:v>386.16465134699996</c:v>
                </c:pt>
                <c:pt idx="2">
                  <c:v>384.51161806900001</c:v>
                </c:pt>
                <c:pt idx="3">
                  <c:v>373.60313599900002</c:v>
                </c:pt>
                <c:pt idx="4">
                  <c:v>379.51191901599998</c:v>
                </c:pt>
                <c:pt idx="5">
                  <c:v>387.412602564</c:v>
                </c:pt>
                <c:pt idx="6">
                  <c:v>383.575565617</c:v>
                </c:pt>
                <c:pt idx="7">
                  <c:v>375.78039143000001</c:v>
                </c:pt>
                <c:pt idx="8" formatCode="0.0">
                  <c:v>360.70785778000004</c:v>
                </c:pt>
              </c:numCache>
            </c:numRef>
          </c:val>
        </c:ser>
        <c:ser>
          <c:idx val="1"/>
          <c:order val="1"/>
          <c:tx>
            <c:strRef>
              <c:f>'4. ábra'!$A$9</c:f>
              <c:strCache>
                <c:ptCount val="1"/>
                <c:pt idx="0">
                  <c:v>Gazdasági szervezetek aránya (milliárd forint)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endParaRPr lang="hu-HU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'4. ábra'!$B$7:$J$7</c:f>
              <c:strCache>
                <c:ptCount val="9"/>
                <c:pt idx="0">
                  <c:v>2023. I.</c:v>
                </c:pt>
                <c:pt idx="1">
                  <c:v>2023. II.</c:v>
                </c:pt>
                <c:pt idx="2">
                  <c:v>2023. III.</c:v>
                </c:pt>
                <c:pt idx="3">
                  <c:v>2023. IV.</c:v>
                </c:pt>
                <c:pt idx="4">
                  <c:v>2024. I.</c:v>
                </c:pt>
                <c:pt idx="5">
                  <c:v>2024. II.</c:v>
                </c:pt>
                <c:pt idx="6">
                  <c:v>2024. III.</c:v>
                </c:pt>
                <c:pt idx="7">
                  <c:v>2024. IV.</c:v>
                </c:pt>
                <c:pt idx="8">
                  <c:v>2025. I. </c:v>
                </c:pt>
              </c:strCache>
            </c:strRef>
          </c:cat>
          <c:val>
            <c:numRef>
              <c:f>'4. ábra'!$B$9:$J$9</c:f>
              <c:numCache>
                <c:formatCode>#\ ##0.0</c:formatCode>
                <c:ptCount val="9"/>
                <c:pt idx="0">
                  <c:v>612.68363637200002</c:v>
                </c:pt>
                <c:pt idx="1">
                  <c:v>657.76245455000003</c:v>
                </c:pt>
                <c:pt idx="2">
                  <c:v>681.23498924099999</c:v>
                </c:pt>
                <c:pt idx="3">
                  <c:v>683.59772875099998</c:v>
                </c:pt>
                <c:pt idx="4">
                  <c:v>685.27554806800003</c:v>
                </c:pt>
                <c:pt idx="5">
                  <c:v>684.85766374399998</c:v>
                </c:pt>
                <c:pt idx="6">
                  <c:v>677.21229860400001</c:v>
                </c:pt>
                <c:pt idx="7">
                  <c:v>672.39748141799998</c:v>
                </c:pt>
                <c:pt idx="8" formatCode="0.0">
                  <c:v>640.48523970100007</c:v>
                </c:pt>
              </c:numCache>
            </c:numRef>
          </c:val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100"/>
        <c:axId val="497748176"/>
        <c:axId val="497754448"/>
      </c:barChart>
      <c:catAx>
        <c:axId val="49774817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hu-HU"/>
          </a:p>
        </c:txPr>
        <c:crossAx val="497754448"/>
        <c:crosses val="autoZero"/>
        <c:auto val="1"/>
        <c:lblAlgn val="ctr"/>
        <c:lblOffset val="100"/>
        <c:noMultiLvlLbl val="0"/>
      </c:catAx>
      <c:valAx>
        <c:axId val="49775444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hu-HU"/>
          </a:p>
        </c:txPr>
        <c:crossAx val="49774817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/>
              </a:solidFill>
              <a:latin typeface="Times New Roman" panose="02020603050405020304" pitchFamily="18" charset="0"/>
              <a:ea typeface="+mn-ea"/>
              <a:cs typeface="Times New Roman" panose="02020603050405020304" pitchFamily="18" charset="0"/>
            </a:defRPr>
          </a:pPr>
          <a:endParaRPr lang="hu-HU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latin typeface="Times New Roman" panose="02020603050405020304" pitchFamily="18" charset="0"/>
          <a:cs typeface="Times New Roman" panose="02020603050405020304" pitchFamily="18" charset="0"/>
        </a:defRPr>
      </a:pPr>
      <a:endParaRPr lang="hu-HU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hu-H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hu-HU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'4. ábra'!$A$8</c:f>
              <c:strCache>
                <c:ptCount val="1"/>
                <c:pt idx="0">
                  <c:v>Egyéni gazdaságok aránya (milliárd forint)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'4. ábra'!$B$7:$J$7</c:f>
              <c:strCache>
                <c:ptCount val="9"/>
                <c:pt idx="0">
                  <c:v>2023. I.</c:v>
                </c:pt>
                <c:pt idx="1">
                  <c:v>2023. II.</c:v>
                </c:pt>
                <c:pt idx="2">
                  <c:v>2023. III.</c:v>
                </c:pt>
                <c:pt idx="3">
                  <c:v>2023. IV.</c:v>
                </c:pt>
                <c:pt idx="4">
                  <c:v>2024. I.</c:v>
                </c:pt>
                <c:pt idx="5">
                  <c:v>2024. II.</c:v>
                </c:pt>
                <c:pt idx="6">
                  <c:v>2024. III.</c:v>
                </c:pt>
                <c:pt idx="7">
                  <c:v>2024. IV.</c:v>
                </c:pt>
                <c:pt idx="8">
                  <c:v>2025. I. </c:v>
                </c:pt>
              </c:strCache>
            </c:strRef>
          </c:cat>
          <c:val>
            <c:numRef>
              <c:f>'4. ábra'!$B$8:$J$8</c:f>
              <c:numCache>
                <c:formatCode>#\ ##0.0</c:formatCode>
                <c:ptCount val="9"/>
                <c:pt idx="0">
                  <c:v>371.12160113499999</c:v>
                </c:pt>
                <c:pt idx="1">
                  <c:v>386.16465134699996</c:v>
                </c:pt>
                <c:pt idx="2">
                  <c:v>384.51161806900001</c:v>
                </c:pt>
                <c:pt idx="3">
                  <c:v>373.60313599900002</c:v>
                </c:pt>
                <c:pt idx="4">
                  <c:v>379.51191901599998</c:v>
                </c:pt>
                <c:pt idx="5">
                  <c:v>387.412602564</c:v>
                </c:pt>
                <c:pt idx="6">
                  <c:v>383.575565617</c:v>
                </c:pt>
                <c:pt idx="7">
                  <c:v>375.78039143000001</c:v>
                </c:pt>
                <c:pt idx="8" formatCode="0.0">
                  <c:v>360.70785778000004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97750528"/>
        <c:axId val="497754840"/>
      </c:lineChart>
      <c:catAx>
        <c:axId val="4977505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hu-HU"/>
          </a:p>
        </c:txPr>
        <c:crossAx val="497754840"/>
        <c:crosses val="autoZero"/>
        <c:auto val="1"/>
        <c:lblAlgn val="ctr"/>
        <c:lblOffset val="100"/>
        <c:noMultiLvlLbl val="0"/>
      </c:catAx>
      <c:valAx>
        <c:axId val="49775484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\ 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hu-HU"/>
          </a:p>
        </c:txPr>
        <c:crossAx val="49775052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hu-HU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hu-H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hu-HU"/>
        </a:p>
      </c:txPr>
    </c:title>
    <c:autoTitleDeleted val="0"/>
    <c:plotArea>
      <c:layout/>
      <c:lineChart>
        <c:grouping val="standard"/>
        <c:varyColors val="0"/>
        <c:ser>
          <c:idx val="1"/>
          <c:order val="0"/>
          <c:tx>
            <c:strRef>
              <c:f>'4. ábra'!$A$9</c:f>
              <c:strCache>
                <c:ptCount val="1"/>
                <c:pt idx="0">
                  <c:v>Gazdasági szervezetek aránya (milliárd forint)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'4. ábra'!$B$7:$J$7</c:f>
              <c:strCache>
                <c:ptCount val="9"/>
                <c:pt idx="0">
                  <c:v>2023. I.</c:v>
                </c:pt>
                <c:pt idx="1">
                  <c:v>2023. II.</c:v>
                </c:pt>
                <c:pt idx="2">
                  <c:v>2023. III.</c:v>
                </c:pt>
                <c:pt idx="3">
                  <c:v>2023. IV.</c:v>
                </c:pt>
                <c:pt idx="4">
                  <c:v>2024. I.</c:v>
                </c:pt>
                <c:pt idx="5">
                  <c:v>2024. II.</c:v>
                </c:pt>
                <c:pt idx="6">
                  <c:v>2024. III.</c:v>
                </c:pt>
                <c:pt idx="7">
                  <c:v>2024. IV.</c:v>
                </c:pt>
                <c:pt idx="8">
                  <c:v>2025. I. </c:v>
                </c:pt>
              </c:strCache>
            </c:strRef>
          </c:cat>
          <c:val>
            <c:numRef>
              <c:f>'4. ábra'!$B$9:$J$9</c:f>
              <c:numCache>
                <c:formatCode>#\ ##0.0</c:formatCode>
                <c:ptCount val="9"/>
                <c:pt idx="0">
                  <c:v>612.68363637200002</c:v>
                </c:pt>
                <c:pt idx="1">
                  <c:v>657.76245455000003</c:v>
                </c:pt>
                <c:pt idx="2">
                  <c:v>681.23498924099999</c:v>
                </c:pt>
                <c:pt idx="3">
                  <c:v>683.59772875099998</c:v>
                </c:pt>
                <c:pt idx="4">
                  <c:v>685.27554806800003</c:v>
                </c:pt>
                <c:pt idx="5">
                  <c:v>684.85766374399998</c:v>
                </c:pt>
                <c:pt idx="6">
                  <c:v>677.21229860400001</c:v>
                </c:pt>
                <c:pt idx="7">
                  <c:v>672.39748141799998</c:v>
                </c:pt>
                <c:pt idx="8" formatCode="0.0">
                  <c:v>640.48523970100007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97749744"/>
        <c:axId val="497750136"/>
      </c:lineChart>
      <c:catAx>
        <c:axId val="49774974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hu-HU"/>
          </a:p>
        </c:txPr>
        <c:crossAx val="497750136"/>
        <c:crosses val="autoZero"/>
        <c:auto val="1"/>
        <c:lblAlgn val="ctr"/>
        <c:lblOffset val="100"/>
        <c:noMultiLvlLbl val="0"/>
      </c:catAx>
      <c:valAx>
        <c:axId val="49775013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\ 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hu-HU"/>
          </a:p>
        </c:txPr>
        <c:crossAx val="49774974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hu-HU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hu-H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8565420853133633E-2"/>
          <c:y val="4.2573771935625532E-2"/>
          <c:w val="0.923032237030597"/>
          <c:h val="0.62548428808394563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'5.ábra'!$A$24</c:f>
              <c:strCache>
                <c:ptCount val="1"/>
                <c:pt idx="0">
                  <c:v>Mg. Beruházási hitelei (milliárd Ft)</c:v>
                </c:pt>
              </c:strCache>
            </c:strRef>
          </c:tx>
          <c:invertIfNegative val="0"/>
          <c:dLbls>
            <c:dLbl>
              <c:idx val="0"/>
              <c:layout>
                <c:manualLayout>
                  <c:x val="-3.8095234286191029E-3"/>
                  <c:y val="2.0698891542507834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0"/>
                  <c:y val="-1.2677852577675881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0"/>
                  <c:y val="-5.8374454101611847E-3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0"/>
                  <c:y val="-6.4879434394176138E-3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0"/>
                  <c:y val="-7.5685666961824612E-3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>
                  <a:defRPr sz="900" b="1"/>
                </a:pPr>
                <a:endParaRPr lang="hu-HU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'5.ábra'!$B$23:$J$23</c:f>
              <c:strCache>
                <c:ptCount val="9"/>
                <c:pt idx="0">
                  <c:v>2023. I.</c:v>
                </c:pt>
                <c:pt idx="1">
                  <c:v>2023. II.</c:v>
                </c:pt>
                <c:pt idx="2">
                  <c:v>2023. III.</c:v>
                </c:pt>
                <c:pt idx="3">
                  <c:v>2023. IV.</c:v>
                </c:pt>
                <c:pt idx="4">
                  <c:v>2024. I</c:v>
                </c:pt>
                <c:pt idx="5">
                  <c:v>2024. II.</c:v>
                </c:pt>
                <c:pt idx="6">
                  <c:v>2024. III.</c:v>
                </c:pt>
                <c:pt idx="7">
                  <c:v>2024. IV.</c:v>
                </c:pt>
                <c:pt idx="8">
                  <c:v>2025. I.</c:v>
                </c:pt>
              </c:strCache>
            </c:strRef>
          </c:cat>
          <c:val>
            <c:numRef>
              <c:f>'5.ábra'!$B$24:$J$24</c:f>
              <c:numCache>
                <c:formatCode>#\ ##0.0</c:formatCode>
                <c:ptCount val="9"/>
                <c:pt idx="0">
                  <c:v>563.45143002299994</c:v>
                </c:pt>
                <c:pt idx="1">
                  <c:v>583.69916005499999</c:v>
                </c:pt>
                <c:pt idx="2">
                  <c:v>600.58064091199992</c:v>
                </c:pt>
                <c:pt idx="3">
                  <c:v>613.85870174199999</c:v>
                </c:pt>
                <c:pt idx="4">
                  <c:v>618.004762691</c:v>
                </c:pt>
                <c:pt idx="5">
                  <c:v>619.59482684</c:v>
                </c:pt>
                <c:pt idx="6">
                  <c:v>609.87323385499997</c:v>
                </c:pt>
                <c:pt idx="7">
                  <c:v>603.57952787800002</c:v>
                </c:pt>
                <c:pt idx="8" formatCode="0.0">
                  <c:v>590.64416657699996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14DA-4D4A-A99C-8F09A132619B}"/>
            </c:ext>
          </c:extLst>
        </c:ser>
        <c:ser>
          <c:idx val="1"/>
          <c:order val="1"/>
          <c:tx>
            <c:strRef>
              <c:f>'5.ábra'!$A$25</c:f>
              <c:strCache>
                <c:ptCount val="1"/>
                <c:pt idx="0">
                  <c:v>Mg. Hosszú lejáratú forgóeszköz hitelei (milliárd Ft)</c:v>
                </c:pt>
              </c:strCache>
            </c:strRef>
          </c:tx>
          <c:invertIfNegative val="0"/>
          <c:dLbls>
            <c:dLbl>
              <c:idx val="0"/>
              <c:layout>
                <c:manualLayout>
                  <c:x val="2.5396822857460533E-3"/>
                  <c:y val="6.6273358742582368E-3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0"/>
                  <c:y val="1.0218571762986788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0"/>
                  <c:y val="-5.4064351513204443E-3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9.3120608073477854E-17"/>
                  <c:y val="-1.1025277822398624E-3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0"/>
                  <c:y val="7.31456270380607E-3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>
                  <a:defRPr sz="900" b="1"/>
                </a:pPr>
                <a:endParaRPr lang="hu-HU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'5.ábra'!$B$23:$J$23</c:f>
              <c:strCache>
                <c:ptCount val="9"/>
                <c:pt idx="0">
                  <c:v>2023. I.</c:v>
                </c:pt>
                <c:pt idx="1">
                  <c:v>2023. II.</c:v>
                </c:pt>
                <c:pt idx="2">
                  <c:v>2023. III.</c:v>
                </c:pt>
                <c:pt idx="3">
                  <c:v>2023. IV.</c:v>
                </c:pt>
                <c:pt idx="4">
                  <c:v>2024. I</c:v>
                </c:pt>
                <c:pt idx="5">
                  <c:v>2024. II.</c:v>
                </c:pt>
                <c:pt idx="6">
                  <c:v>2024. III.</c:v>
                </c:pt>
                <c:pt idx="7">
                  <c:v>2024. IV.</c:v>
                </c:pt>
                <c:pt idx="8">
                  <c:v>2025. I.</c:v>
                </c:pt>
              </c:strCache>
            </c:strRef>
          </c:cat>
          <c:val>
            <c:numRef>
              <c:f>'5.ábra'!$B$25:$J$25</c:f>
              <c:numCache>
                <c:formatCode>#\ ##0.0</c:formatCode>
                <c:ptCount val="9"/>
                <c:pt idx="0">
                  <c:v>164.60258556899998</c:v>
                </c:pt>
                <c:pt idx="1">
                  <c:v>183.16865609800001</c:v>
                </c:pt>
                <c:pt idx="2">
                  <c:v>189.72523535900001</c:v>
                </c:pt>
                <c:pt idx="3">
                  <c:v>194.77468000900001</c:v>
                </c:pt>
                <c:pt idx="4">
                  <c:v>183.52932768099998</c:v>
                </c:pt>
                <c:pt idx="5">
                  <c:v>174.98022640099998</c:v>
                </c:pt>
                <c:pt idx="6">
                  <c:v>131.01165902700001</c:v>
                </c:pt>
                <c:pt idx="7">
                  <c:v>155.67992133499999</c:v>
                </c:pt>
                <c:pt idx="8" formatCode="0.0">
                  <c:v>133.30184524200001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14DA-4D4A-A99C-8F09A132619B}"/>
            </c:ext>
          </c:extLst>
        </c:ser>
        <c:ser>
          <c:idx val="2"/>
          <c:order val="2"/>
          <c:tx>
            <c:strRef>
              <c:f>'5.ábra'!$A$26</c:f>
              <c:strCache>
                <c:ptCount val="1"/>
                <c:pt idx="0">
                  <c:v>Mg. Forint folyószámla- és egyéb éven belüli hitelei (milliárd Ft)</c:v>
                </c:pt>
              </c:strCache>
            </c:strRef>
          </c:tx>
          <c:invertIfNegative val="0"/>
          <c:dLbls>
            <c:dLbl>
              <c:idx val="0"/>
              <c:layout>
                <c:manualLayout>
                  <c:x val="-1.6728907213707565E-3"/>
                  <c:y val="-9.7570279231810504E-3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2-14DA-4D4A-A99C-8F09A132619B}"/>
                </c:ex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0"/>
                  <c:y val="1.4934903732929405E-3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14DA-4D4A-A99C-8F09A132619B}"/>
                </c:ex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0"/>
                  <c:y val="-4.3426274898697098E-3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4-14DA-4D4A-A99C-8F09A132619B}"/>
                </c:ex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0"/>
                  <c:y val="-7.751325666306901E-3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5-14DA-4D4A-A99C-8F09A132619B}"/>
                </c:ex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2.5396822857458668E-3"/>
                  <c:y val="-5.4042225729896663E-3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6-14DA-4D4A-A99C-8F09A132619B}"/>
                </c:ex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0"/>
                  <c:y val="8.8926461351578594E-3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7-14DA-4D4A-A99C-8F09A132619B}"/>
                </c:ex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0"/>
                  <c:y val="6.924866282700207E-3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8-14DA-4D4A-A99C-8F09A132619B}"/>
                </c:ex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0"/>
                  <c:y val="1.164851313310959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9-14DA-4D4A-A99C-8F09A132619B}"/>
                </c:ex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 val="0"/>
                  <c:y val="7.8229686870974046E-4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A-14DA-4D4A-A99C-8F09A132619B}"/>
                </c:ext>
                <c:ext xmlns:c15="http://schemas.microsoft.com/office/drawing/2012/chart" uri="{CE6537A1-D6FC-4f65-9D91-7224C49458BB}"/>
              </c:extLst>
            </c:dLbl>
            <c:dLbl>
              <c:idx val="9"/>
              <c:layout>
                <c:manualLayout>
                  <c:x val="0"/>
                  <c:y val="4.6498970092611258E-3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B-14DA-4D4A-A99C-8F09A132619B}"/>
                </c:ext>
                <c:ext xmlns:c15="http://schemas.microsoft.com/office/drawing/2012/chart" uri="{CE6537A1-D6FC-4f65-9D91-7224C49458BB}"/>
              </c:extLst>
            </c:dLbl>
            <c:dLbl>
              <c:idx val="10"/>
              <c:layout>
                <c:manualLayout>
                  <c:x val="0"/>
                  <c:y val="1.1675026505753859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C-14DA-4D4A-A99C-8F09A132619B}"/>
                </c:ext>
                <c:ext xmlns:c15="http://schemas.microsoft.com/office/drawing/2012/chart" uri="{CE6537A1-D6FC-4f65-9D91-7224C49458BB}"/>
              </c:extLst>
            </c:dLbl>
            <c:dLbl>
              <c:idx val="11"/>
              <c:layout>
                <c:manualLayout>
                  <c:x val="-3.3458803847762441E-3"/>
                  <c:y val="1.4933733329716949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D-14DA-4D4A-A99C-8F09A132619B}"/>
                </c:ext>
                <c:ext xmlns:c15="http://schemas.microsoft.com/office/drawing/2012/chart" uri="{CE6537A1-D6FC-4f65-9D91-7224C49458BB}"/>
              </c:extLst>
            </c:dLbl>
            <c:dLbl>
              <c:idx val="12"/>
              <c:layout>
                <c:manualLayout>
                  <c:x val="-3.3458803847762441E-3"/>
                  <c:y val="-3.742956813982447E-3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E-14DA-4D4A-A99C-8F09A132619B}"/>
                </c:ext>
                <c:ext xmlns:c15="http://schemas.microsoft.com/office/drawing/2012/chart" uri="{CE6537A1-D6FC-4f65-9D91-7224C49458BB}"/>
              </c:extLst>
            </c:dLbl>
            <c:dLbl>
              <c:idx val="13"/>
              <c:layout>
                <c:manualLayout>
                  <c:x val="6.1340431777662204E-17"/>
                  <c:y val="4.6898194439322924E-3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F-14DA-4D4A-A99C-8F09A132619B}"/>
                </c:ext>
                <c:ext xmlns:c15="http://schemas.microsoft.com/office/drawing/2012/chart" uri="{CE6537A1-D6FC-4f65-9D91-7224C49458BB}"/>
              </c:extLst>
            </c:dLbl>
            <c:dLbl>
              <c:idx val="15"/>
              <c:layout>
                <c:manualLayout>
                  <c:x val="0"/>
                  <c:y val="6.5984775229074016E-3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10-14DA-4D4A-A99C-8F09A132619B}"/>
                </c:ext>
                <c:ext xmlns:c15="http://schemas.microsoft.com/office/drawing/2012/chart" uri="{CE6537A1-D6FC-4f65-9D91-7224C49458BB}"/>
              </c:extLst>
            </c:dLbl>
            <c:dLbl>
              <c:idx val="16"/>
              <c:layout>
                <c:manualLayout>
                  <c:x val="0"/>
                  <c:y val="6.5338702240501888E-4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11-14DA-4D4A-A99C-8F09A132619B}"/>
                </c:ex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>
                  <a:defRPr sz="900" b="1"/>
                </a:pPr>
                <a:endParaRPr lang="hu-HU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'5.ábra'!$B$23:$J$23</c:f>
              <c:strCache>
                <c:ptCount val="9"/>
                <c:pt idx="0">
                  <c:v>2023. I.</c:v>
                </c:pt>
                <c:pt idx="1">
                  <c:v>2023. II.</c:v>
                </c:pt>
                <c:pt idx="2">
                  <c:v>2023. III.</c:v>
                </c:pt>
                <c:pt idx="3">
                  <c:v>2023. IV.</c:v>
                </c:pt>
                <c:pt idx="4">
                  <c:v>2024. I</c:v>
                </c:pt>
                <c:pt idx="5">
                  <c:v>2024. II.</c:v>
                </c:pt>
                <c:pt idx="6">
                  <c:v>2024. III.</c:v>
                </c:pt>
                <c:pt idx="7">
                  <c:v>2024. IV.</c:v>
                </c:pt>
                <c:pt idx="8">
                  <c:v>2025. I.</c:v>
                </c:pt>
              </c:strCache>
            </c:strRef>
          </c:cat>
          <c:val>
            <c:numRef>
              <c:f>'5.ábra'!$B$26:$J$26</c:f>
              <c:numCache>
                <c:formatCode>#\ ##0.0</c:formatCode>
                <c:ptCount val="9"/>
                <c:pt idx="0">
                  <c:v>178.08352282400003</c:v>
                </c:pt>
                <c:pt idx="1">
                  <c:v>192.516390538</c:v>
                </c:pt>
                <c:pt idx="2">
                  <c:v>196.44053273400002</c:v>
                </c:pt>
                <c:pt idx="3">
                  <c:v>182.443345343</c:v>
                </c:pt>
                <c:pt idx="4">
                  <c:v>197.51235759799999</c:v>
                </c:pt>
                <c:pt idx="5">
                  <c:v>210.791940727</c:v>
                </c:pt>
                <c:pt idx="6">
                  <c:v>225.64223640999998</c:v>
                </c:pt>
                <c:pt idx="7">
                  <c:v>232.11123514400001</c:v>
                </c:pt>
                <c:pt idx="8" formatCode="0.0">
                  <c:v>225.04530762799999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12-14DA-4D4A-A99C-8F09A132619B}"/>
            </c:ext>
          </c:extLst>
        </c:ser>
        <c:ser>
          <c:idx val="3"/>
          <c:order val="3"/>
          <c:tx>
            <c:strRef>
              <c:f>'5.ábra'!$A$27</c:f>
              <c:strCache>
                <c:ptCount val="1"/>
                <c:pt idx="0">
                  <c:v>Mg. Egyéb hitelei (milliárd Ft)</c:v>
                </c:pt>
              </c:strCache>
            </c:strRef>
          </c:tx>
          <c:invertIfNegative val="0"/>
          <c:dLbls>
            <c:dLbl>
              <c:idx val="0"/>
              <c:layout>
                <c:manualLayout>
                  <c:x val="1.6729259198820744E-3"/>
                  <c:y val="-5.3811077369624753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13-14DA-4D4A-A99C-8F09A132619B}"/>
                </c:ex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0"/>
                  <c:y val="-5.1371620468310439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14-14DA-4D4A-A99C-8F09A132619B}"/>
                </c:ex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4.501686434110203E-17"/>
                  <c:y val="-4.876589983398525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15-14DA-4D4A-A99C-8F09A132619B}"/>
                </c:ex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1.6729259198820744E-3"/>
                  <c:y val="-5.109635854760191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16-14DA-4D4A-A99C-8F09A132619B}"/>
                </c:ex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0"/>
                  <c:y val="-4.7308256557389065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17-14DA-4D4A-A99C-8F09A132619B}"/>
                </c:ex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0"/>
                  <c:y val="-3.050206391111502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18-14DA-4D4A-A99C-8F09A132619B}"/>
                </c:ex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1.2277468467206466E-3"/>
                  <c:y val="-3.6679826676282869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19-14DA-4D4A-A99C-8F09A132619B}"/>
                </c:ex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0"/>
                  <c:y val="-2.7652533413706437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1A-14DA-4D4A-A99C-8F09A132619B}"/>
                </c:ex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 val="-1.6729401923881221E-3"/>
                  <c:y val="-2.4660484073234165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1B-14DA-4D4A-A99C-8F09A132619B}"/>
                </c:ext>
                <c:ext xmlns:c15="http://schemas.microsoft.com/office/drawing/2012/chart" uri="{CE6537A1-D6FC-4f65-9D91-7224C49458BB}"/>
              </c:extLst>
            </c:dLbl>
            <c:dLbl>
              <c:idx val="9"/>
              <c:layout>
                <c:manualLayout>
                  <c:x val="0"/>
                  <c:y val="-1.3049455363518184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1C-14DA-4D4A-A99C-8F09A132619B}"/>
                </c:ext>
                <c:ext xmlns:c15="http://schemas.microsoft.com/office/drawing/2012/chart" uri="{CE6537A1-D6FC-4f65-9D91-7224C49458BB}"/>
              </c:extLst>
            </c:dLbl>
            <c:dLbl>
              <c:idx val="10"/>
              <c:layout>
                <c:manualLayout>
                  <c:x val="0"/>
                  <c:y val="-1.5988782710111622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1D-14DA-4D4A-A99C-8F09A132619B}"/>
                </c:ext>
                <c:ext xmlns:c15="http://schemas.microsoft.com/office/drawing/2012/chart" uri="{CE6537A1-D6FC-4f65-9D91-7224C49458BB}"/>
              </c:extLst>
            </c:dLbl>
            <c:dLbl>
              <c:idx val="11"/>
              <c:layout>
                <c:manualLayout>
                  <c:x val="0"/>
                  <c:y val="-1.8690708708545809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1E-14DA-4D4A-A99C-8F09A132619B}"/>
                </c:ext>
                <c:ext xmlns:c15="http://schemas.microsoft.com/office/drawing/2012/chart" uri="{CE6537A1-D6FC-4f65-9D91-7224C49458BB}"/>
              </c:extLst>
            </c:dLbl>
            <c:dLbl>
              <c:idx val="12"/>
              <c:layout>
                <c:manualLayout>
                  <c:x val="0"/>
                  <c:y val="-3.0824081334494234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1F-14DA-4D4A-A99C-8F09A132619B}"/>
                </c:ext>
                <c:ext xmlns:c15="http://schemas.microsoft.com/office/drawing/2012/chart" uri="{CE6537A1-D6FC-4f65-9D91-7224C49458BB}"/>
              </c:extLst>
            </c:dLbl>
            <c:dLbl>
              <c:idx val="13"/>
              <c:layout>
                <c:manualLayout>
                  <c:x val="-1.6729401923881221E-3"/>
                  <c:y val="-3.6183134874136144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20-14DA-4D4A-A99C-8F09A132619B}"/>
                </c:ext>
                <c:ext xmlns:c15="http://schemas.microsoft.com/office/drawing/2012/chart" uri="{CE6537A1-D6FC-4f65-9D91-7224C49458BB}"/>
              </c:extLst>
            </c:dLbl>
            <c:dLbl>
              <c:idx val="14"/>
              <c:layout>
                <c:manualLayout>
                  <c:x val="-1.6729401923881221E-3"/>
                  <c:y val="-2.4785432151212775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21-14DA-4D4A-A99C-8F09A132619B}"/>
                </c:ext>
                <c:ext xmlns:c15="http://schemas.microsoft.com/office/drawing/2012/chart" uri="{CE6537A1-D6FC-4f65-9D91-7224C49458BB}"/>
              </c:extLst>
            </c:dLbl>
            <c:dLbl>
              <c:idx val="15"/>
              <c:layout>
                <c:manualLayout>
                  <c:x val="1.6729401923881221E-3"/>
                  <c:y val="-4.0896724928025353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22-14DA-4D4A-A99C-8F09A132619B}"/>
                </c:ext>
                <c:ext xmlns:c15="http://schemas.microsoft.com/office/drawing/2012/chart" uri="{CE6537A1-D6FC-4f65-9D91-7224C49458BB}"/>
              </c:extLst>
            </c:dLbl>
            <c:dLbl>
              <c:idx val="16"/>
              <c:layout>
                <c:manualLayout>
                  <c:x val="-1.6729401923881221E-3"/>
                  <c:y val="-1.4725892868298935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23-14DA-4D4A-A99C-8F09A132619B}"/>
                </c:ext>
                <c:ext xmlns:c15="http://schemas.microsoft.com/office/drawing/2012/chart" uri="{CE6537A1-D6FC-4f65-9D91-7224C49458BB}"/>
              </c:extLst>
            </c:dLbl>
            <c:dLbl>
              <c:idx val="17"/>
              <c:layout>
                <c:manualLayout>
                  <c:x val="0"/>
                  <c:y val="-7.2040185739889184E-3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24-14DA-4D4A-A99C-8F09A132619B}"/>
                </c:ext>
                <c:ext xmlns:c15="http://schemas.microsoft.com/office/drawing/2012/chart" uri="{CE6537A1-D6FC-4f65-9D91-7224C49458BB}"/>
              </c:extLst>
            </c:dLbl>
            <c:dLbl>
              <c:idx val="18"/>
              <c:layout>
                <c:manualLayout>
                  <c:x val="0"/>
                  <c:y val="-1.1782299001969608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25-14DA-4D4A-A99C-8F09A132619B}"/>
                </c:ext>
                <c:ext xmlns:c15="http://schemas.microsoft.com/office/drawing/2012/chart" uri="{CE6537A1-D6FC-4f65-9D91-7224C49458BB}"/>
              </c:extLst>
            </c:dLbl>
            <c:dLbl>
              <c:idx val="19"/>
              <c:layout>
                <c:manualLayout>
                  <c:x val="1.6729401923881221E-3"/>
                  <c:y val="-1.2784016885666109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26-14DA-4D4A-A99C-8F09A132619B}"/>
                </c:ext>
                <c:ext xmlns:c15="http://schemas.microsoft.com/office/drawing/2012/chart" uri="{CE6537A1-D6FC-4f65-9D91-7224C49458BB}"/>
              </c:extLst>
            </c:dLbl>
            <c:dLbl>
              <c:idx val="20"/>
              <c:layout>
                <c:manualLayout>
                  <c:x val="3.3458803847762441E-3"/>
                  <c:y val="-2.3323539638863484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27-14DA-4D4A-A99C-8F09A132619B}"/>
                </c:ext>
                <c:ext xmlns:c15="http://schemas.microsoft.com/office/drawing/2012/chart" uri="{CE6537A1-D6FC-4f65-9D91-7224C49458BB}"/>
              </c:extLst>
            </c:dLbl>
            <c:dLbl>
              <c:idx val="21"/>
              <c:layout>
                <c:manualLayout>
                  <c:x val="3.3458803847762441E-3"/>
                  <c:y val="-2.2247157659789546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28-14DA-4D4A-A99C-8F09A132619B}"/>
                </c:ext>
                <c:ext xmlns:c15="http://schemas.microsoft.com/office/drawing/2012/chart" uri="{CE6537A1-D6FC-4f65-9D91-7224C49458BB}"/>
              </c:extLst>
            </c:dLbl>
            <c:dLbl>
              <c:idx val="22"/>
              <c:layout>
                <c:manualLayout>
                  <c:x val="0"/>
                  <c:y val="-1.659219050132521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29-14DA-4D4A-A99C-8F09A132619B}"/>
                </c:ext>
                <c:ext xmlns:c15="http://schemas.microsoft.com/office/drawing/2012/chart" uri="{CE6537A1-D6FC-4f65-9D91-7224C49458BB}"/>
              </c:extLst>
            </c:dLbl>
            <c:dLbl>
              <c:idx val="23"/>
              <c:layout>
                <c:manualLayout>
                  <c:x val="1.2268086355532441E-16"/>
                  <c:y val="-2.1238430493669865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2A-14DA-4D4A-A99C-8F09A132619B}"/>
                </c:ext>
                <c:ext xmlns:c15="http://schemas.microsoft.com/office/drawing/2012/chart" uri="{CE6537A1-D6FC-4f65-9D91-7224C49458BB}"/>
              </c:extLst>
            </c:dLbl>
            <c:dLbl>
              <c:idx val="24"/>
              <c:layout>
                <c:manualLayout>
                  <c:x val="-1.2268086355532441E-16"/>
                  <c:y val="-2.0008149052695479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2B-14DA-4D4A-A99C-8F09A132619B}"/>
                </c:ext>
                <c:ext xmlns:c15="http://schemas.microsoft.com/office/drawing/2012/chart" uri="{CE6537A1-D6FC-4f65-9D91-7224C49458BB}"/>
              </c:extLst>
            </c:dLbl>
            <c:dLbl>
              <c:idx val="25"/>
              <c:layout>
                <c:manualLayout>
                  <c:x val="0"/>
                  <c:y val="-2.3172687691060078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2C-14DA-4D4A-A99C-8F09A132619B}"/>
                </c:ext>
                <c:ext xmlns:c15="http://schemas.microsoft.com/office/drawing/2012/chart" uri="{CE6537A1-D6FC-4f65-9D91-7224C49458BB}"/>
              </c:extLst>
            </c:dLbl>
            <c:dLbl>
              <c:idx val="26"/>
              <c:layout>
                <c:manualLayout>
                  <c:x val="0"/>
                  <c:y val="-8.6671300919770235E-3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2D-14DA-4D4A-A99C-8F09A132619B}"/>
                </c:ext>
                <c:ext xmlns:c15="http://schemas.microsoft.com/office/drawing/2012/chart" uri="{CE6537A1-D6FC-4f65-9D91-7224C49458BB}"/>
              </c:extLst>
            </c:dLbl>
            <c:dLbl>
              <c:idx val="27"/>
              <c:layout>
                <c:manualLayout>
                  <c:x val="1.2056306813020167E-16"/>
                  <c:y val="1.4902343934517631E-3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2E-14DA-4D4A-A99C-8F09A132619B}"/>
                </c:ex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>
                  <a:defRPr sz="900" b="1"/>
                </a:pPr>
                <a:endParaRPr lang="hu-HU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'5.ábra'!$B$23:$J$23</c:f>
              <c:strCache>
                <c:ptCount val="9"/>
                <c:pt idx="0">
                  <c:v>2023. I.</c:v>
                </c:pt>
                <c:pt idx="1">
                  <c:v>2023. II.</c:v>
                </c:pt>
                <c:pt idx="2">
                  <c:v>2023. III.</c:v>
                </c:pt>
                <c:pt idx="3">
                  <c:v>2023. IV.</c:v>
                </c:pt>
                <c:pt idx="4">
                  <c:v>2024. I</c:v>
                </c:pt>
                <c:pt idx="5">
                  <c:v>2024. II.</c:v>
                </c:pt>
                <c:pt idx="6">
                  <c:v>2024. III.</c:v>
                </c:pt>
                <c:pt idx="7">
                  <c:v>2024. IV.</c:v>
                </c:pt>
                <c:pt idx="8">
                  <c:v>2025. I.</c:v>
                </c:pt>
              </c:strCache>
            </c:strRef>
          </c:cat>
          <c:val>
            <c:numRef>
              <c:f>'5.ábra'!$B$27:$J$27</c:f>
              <c:numCache>
                <c:formatCode>#\ ##0.0</c:formatCode>
                <c:ptCount val="9"/>
                <c:pt idx="0">
                  <c:v>77.667695662</c:v>
                </c:pt>
                <c:pt idx="1">
                  <c:v>84.542899206000001</c:v>
                </c:pt>
                <c:pt idx="2">
                  <c:v>77.819755622000002</c:v>
                </c:pt>
                <c:pt idx="3">
                  <c:v>64.975372770000007</c:v>
                </c:pt>
                <c:pt idx="4">
                  <c:v>64.551542443000002</c:v>
                </c:pt>
                <c:pt idx="5">
                  <c:v>65.716445636999993</c:v>
                </c:pt>
                <c:pt idx="6">
                  <c:v>62.604742434999999</c:v>
                </c:pt>
                <c:pt idx="7">
                  <c:v>56.807188490999998</c:v>
                </c:pt>
                <c:pt idx="8" formatCode="0.0">
                  <c:v>52.201778034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2F-14DA-4D4A-A99C-8F09A132619B}"/>
            </c:ext>
          </c:extLst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100"/>
        <c:axId val="497752096"/>
        <c:axId val="497759544"/>
      </c:barChart>
      <c:catAx>
        <c:axId val="49775209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900"/>
            </a:pPr>
            <a:endParaRPr lang="hu-HU"/>
          </a:p>
        </c:txPr>
        <c:crossAx val="497759544"/>
        <c:crosses val="autoZero"/>
        <c:auto val="1"/>
        <c:lblAlgn val="ctr"/>
        <c:lblOffset val="100"/>
        <c:noMultiLvlLbl val="0"/>
      </c:catAx>
      <c:valAx>
        <c:axId val="497759544"/>
        <c:scaling>
          <c:orientation val="minMax"/>
        </c:scaling>
        <c:delete val="0"/>
        <c:axPos val="l"/>
        <c:majorGridlines/>
        <c:numFmt formatCode="#\ ##0.0" sourceLinked="1"/>
        <c:majorTickMark val="out"/>
        <c:minorTickMark val="none"/>
        <c:tickLblPos val="nextTo"/>
        <c:crossAx val="497752096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4.0117673330291167E-3"/>
          <c:y val="0.8089726738553461"/>
          <c:w val="0.98043911386860849"/>
          <c:h val="0.16780526872522181"/>
        </c:manualLayout>
      </c:layout>
      <c:overlay val="0"/>
    </c:legend>
    <c:plotVisOnly val="1"/>
    <c:dispBlanksAs val="gap"/>
    <c:showDLblsOverMax val="0"/>
  </c:chart>
  <c:spPr>
    <a:ln>
      <a:noFill/>
    </a:ln>
  </c:spPr>
  <c:txPr>
    <a:bodyPr/>
    <a:lstStyle/>
    <a:p>
      <a:pPr>
        <a:defRPr>
          <a:latin typeface="Times New Roman" panose="02020603050405020304" pitchFamily="18" charset="0"/>
          <a:cs typeface="Times New Roman" panose="02020603050405020304" pitchFamily="18" charset="0"/>
        </a:defRPr>
      </a:pPr>
      <a:endParaRPr lang="hu-HU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hu-H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percentStacked"/>
        <c:varyColors val="0"/>
        <c:ser>
          <c:idx val="0"/>
          <c:order val="0"/>
          <c:tx>
            <c:strRef>
              <c:f>'6. ábra'!$A$3</c:f>
              <c:strCache>
                <c:ptCount val="1"/>
                <c:pt idx="0">
                  <c:v>Egyéni gazdaságok (milliárd Ft)</c:v>
                </c:pt>
              </c:strCache>
            </c:strRef>
          </c:tx>
          <c:invertIfNegative val="0"/>
          <c:dLbls>
            <c:dLbl>
              <c:idx val="0"/>
              <c:layout>
                <c:manualLayout>
                  <c:x val="0"/>
                  <c:y val="-2.3916289221380557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3.9811338865469687E-17"/>
                  <c:y val="-2.3916289221380411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0"/>
                  <c:y val="-2.7902337424943958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0"/>
                  <c:y val="-2.3916289221380411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1.5924535546187875E-16"/>
                  <c:y val="-2.3916289221380411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>
                    <a:solidFill>
                      <a:schemeClr val="bg1"/>
                    </a:solidFill>
                  </a:defRPr>
                </a:pPr>
                <a:endParaRPr lang="hu-HU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'6. ábra'!$B$2:$J$2</c:f>
              <c:strCache>
                <c:ptCount val="9"/>
                <c:pt idx="0">
                  <c:v>2023. I.</c:v>
                </c:pt>
                <c:pt idx="1">
                  <c:v>2023. II.</c:v>
                </c:pt>
                <c:pt idx="2">
                  <c:v>2023. III.</c:v>
                </c:pt>
                <c:pt idx="3">
                  <c:v>2023. IV.</c:v>
                </c:pt>
                <c:pt idx="4">
                  <c:v>2024. I</c:v>
                </c:pt>
                <c:pt idx="5">
                  <c:v>2024. II.</c:v>
                </c:pt>
                <c:pt idx="6">
                  <c:v>2024. III.</c:v>
                </c:pt>
                <c:pt idx="7">
                  <c:v>2024. IV.</c:v>
                </c:pt>
                <c:pt idx="8">
                  <c:v>2025. I.</c:v>
                </c:pt>
              </c:strCache>
            </c:strRef>
          </c:cat>
          <c:val>
            <c:numRef>
              <c:f>'6. ábra'!$B$3:$J$3</c:f>
              <c:numCache>
                <c:formatCode>#\ ##0.0</c:formatCode>
                <c:ptCount val="9"/>
                <c:pt idx="0">
                  <c:v>5.5174280859999998</c:v>
                </c:pt>
                <c:pt idx="1">
                  <c:v>5.4040613390000001</c:v>
                </c:pt>
                <c:pt idx="2">
                  <c:v>5.0248401390000001</c:v>
                </c:pt>
                <c:pt idx="3">
                  <c:v>4.9533059509999999</c:v>
                </c:pt>
                <c:pt idx="4">
                  <c:v>4.8025669139999998</c:v>
                </c:pt>
                <c:pt idx="5">
                  <c:v>4.9542694330000003</c:v>
                </c:pt>
                <c:pt idx="6">
                  <c:v>5.3427441099999999</c:v>
                </c:pt>
                <c:pt idx="7">
                  <c:v>5.3990705859999997</c:v>
                </c:pt>
                <c:pt idx="8">
                  <c:v>5.0508842459999999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C80B-4E09-AE21-E4768C8A4BD3}"/>
            </c:ext>
          </c:extLst>
        </c:ser>
        <c:ser>
          <c:idx val="1"/>
          <c:order val="1"/>
          <c:tx>
            <c:strRef>
              <c:f>'6. ábra'!$A$4</c:f>
              <c:strCache>
                <c:ptCount val="1"/>
                <c:pt idx="0">
                  <c:v>Gazdasági szervezetek (milliárd Ft)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 b="1"/>
                </a:pPr>
                <a:endParaRPr lang="hu-HU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'6. ábra'!$B$2:$J$2</c:f>
              <c:strCache>
                <c:ptCount val="9"/>
                <c:pt idx="0">
                  <c:v>2023. I.</c:v>
                </c:pt>
                <c:pt idx="1">
                  <c:v>2023. II.</c:v>
                </c:pt>
                <c:pt idx="2">
                  <c:v>2023. III.</c:v>
                </c:pt>
                <c:pt idx="3">
                  <c:v>2023. IV.</c:v>
                </c:pt>
                <c:pt idx="4">
                  <c:v>2024. I</c:v>
                </c:pt>
                <c:pt idx="5">
                  <c:v>2024. II.</c:v>
                </c:pt>
                <c:pt idx="6">
                  <c:v>2024. III.</c:v>
                </c:pt>
                <c:pt idx="7">
                  <c:v>2024. IV.</c:v>
                </c:pt>
                <c:pt idx="8">
                  <c:v>2025. I.</c:v>
                </c:pt>
              </c:strCache>
            </c:strRef>
          </c:cat>
          <c:val>
            <c:numRef>
              <c:f>'6. ábra'!$B$4:$J$4</c:f>
              <c:numCache>
                <c:formatCode>#\ ##0.0</c:formatCode>
                <c:ptCount val="9"/>
                <c:pt idx="0">
                  <c:v>739.1906450350001</c:v>
                </c:pt>
                <c:pt idx="1">
                  <c:v>726.23159394300001</c:v>
                </c:pt>
                <c:pt idx="2">
                  <c:v>753.372743829</c:v>
                </c:pt>
                <c:pt idx="3">
                  <c:v>744.56103438499997</c:v>
                </c:pt>
                <c:pt idx="4">
                  <c:v>737.72694163999995</c:v>
                </c:pt>
                <c:pt idx="5">
                  <c:v>700.850127477</c:v>
                </c:pt>
                <c:pt idx="6">
                  <c:v>715.76642803699997</c:v>
                </c:pt>
                <c:pt idx="7">
                  <c:v>750.60464624700001</c:v>
                </c:pt>
                <c:pt idx="8">
                  <c:v>705.54979263500002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C80B-4E09-AE21-E4768C8A4BD3}"/>
            </c:ext>
          </c:extLst>
        </c:ser>
        <c:dLbls>
          <c:dLblPos val="inBase"/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100"/>
        <c:axId val="567774592"/>
        <c:axId val="567772632"/>
      </c:barChart>
      <c:catAx>
        <c:axId val="56777459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900"/>
            </a:pPr>
            <a:endParaRPr lang="hu-HU"/>
          </a:p>
        </c:txPr>
        <c:crossAx val="567772632"/>
        <c:crosses val="autoZero"/>
        <c:auto val="1"/>
        <c:lblAlgn val="ctr"/>
        <c:lblOffset val="100"/>
        <c:noMultiLvlLbl val="0"/>
      </c:catAx>
      <c:valAx>
        <c:axId val="567772632"/>
        <c:scaling>
          <c:orientation val="minMax"/>
        </c:scaling>
        <c:delete val="0"/>
        <c:axPos val="l"/>
        <c:majorGridlines/>
        <c:numFmt formatCode="0%" sourceLinked="1"/>
        <c:majorTickMark val="out"/>
        <c:minorTickMark val="none"/>
        <c:tickLblPos val="nextTo"/>
        <c:crossAx val="567774592"/>
        <c:crosses val="autoZero"/>
        <c:crossBetween val="between"/>
      </c:valAx>
    </c:plotArea>
    <c:legend>
      <c:legendPos val="b"/>
      <c:overlay val="0"/>
    </c:legend>
    <c:plotVisOnly val="1"/>
    <c:dispBlanksAs val="gap"/>
    <c:showDLblsOverMax val="0"/>
  </c:chart>
  <c:spPr>
    <a:ln>
      <a:noFill/>
    </a:ln>
  </c:spPr>
  <c:txPr>
    <a:bodyPr/>
    <a:lstStyle/>
    <a:p>
      <a:pPr>
        <a:defRPr>
          <a:latin typeface="Times New Roman" panose="02020603050405020304" pitchFamily="18" charset="0"/>
          <a:cs typeface="Times New Roman" panose="02020603050405020304" pitchFamily="18" charset="0"/>
        </a:defRPr>
      </a:pPr>
      <a:endParaRPr lang="hu-HU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hu-H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4.1807700484870369E-2"/>
          <c:y val="2.823227177027459E-2"/>
          <c:w val="0.94286663069833487"/>
          <c:h val="0.83243813252313237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'7. ábra'!$A$9</c:f>
              <c:strCache>
                <c:ptCount val="1"/>
                <c:pt idx="0">
                  <c:v>Élip beruházási hitelei (milliárd Ft)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>
                  <a:defRPr sz="900" b="1"/>
                </a:pPr>
                <a:endParaRPr lang="hu-HU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'7. ábra'!$B$8:$J$8</c:f>
              <c:strCache>
                <c:ptCount val="9"/>
                <c:pt idx="0">
                  <c:v>2023. I.</c:v>
                </c:pt>
                <c:pt idx="1">
                  <c:v>2023. II.</c:v>
                </c:pt>
                <c:pt idx="2">
                  <c:v>2023. III.</c:v>
                </c:pt>
                <c:pt idx="3">
                  <c:v>2023. IV.</c:v>
                </c:pt>
                <c:pt idx="4">
                  <c:v>2024. I</c:v>
                </c:pt>
                <c:pt idx="5">
                  <c:v>2024. II.</c:v>
                </c:pt>
                <c:pt idx="6">
                  <c:v>2024. III.</c:v>
                </c:pt>
                <c:pt idx="7">
                  <c:v>2024. IV.</c:v>
                </c:pt>
                <c:pt idx="8">
                  <c:v>2025. I.</c:v>
                </c:pt>
              </c:strCache>
            </c:strRef>
          </c:cat>
          <c:val>
            <c:numRef>
              <c:f>'7. ábra'!$B$9:$J$9</c:f>
              <c:numCache>
                <c:formatCode>#\ ##0.0</c:formatCode>
                <c:ptCount val="9"/>
                <c:pt idx="0">
                  <c:v>270.35857995099997</c:v>
                </c:pt>
                <c:pt idx="1">
                  <c:v>281.61066564499998</c:v>
                </c:pt>
                <c:pt idx="2">
                  <c:v>294.34345492</c:v>
                </c:pt>
                <c:pt idx="3">
                  <c:v>295.41637866799999</c:v>
                </c:pt>
                <c:pt idx="4">
                  <c:v>302.96274810299997</c:v>
                </c:pt>
                <c:pt idx="5">
                  <c:v>302.20232886299999</c:v>
                </c:pt>
                <c:pt idx="6">
                  <c:v>296.88343156600001</c:v>
                </c:pt>
                <c:pt idx="7">
                  <c:v>306.07617142999999</c:v>
                </c:pt>
                <c:pt idx="8" formatCode="0.0">
                  <c:v>301.679722814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FD0C-4F55-BCD3-06FAC9A670FB}"/>
            </c:ext>
          </c:extLst>
        </c:ser>
        <c:ser>
          <c:idx val="1"/>
          <c:order val="1"/>
          <c:tx>
            <c:strRef>
              <c:f>'7. ábra'!$A$10</c:f>
              <c:strCache>
                <c:ptCount val="1"/>
                <c:pt idx="0">
                  <c:v>Élip hosszú lejáratú forgóeszköz hitelei (milliárd Ft)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>
                  <a:defRPr sz="900" b="1"/>
                </a:pPr>
                <a:endParaRPr lang="hu-HU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'7. ábra'!$B$8:$J$8</c:f>
              <c:strCache>
                <c:ptCount val="9"/>
                <c:pt idx="0">
                  <c:v>2023. I.</c:v>
                </c:pt>
                <c:pt idx="1">
                  <c:v>2023. II.</c:v>
                </c:pt>
                <c:pt idx="2">
                  <c:v>2023. III.</c:v>
                </c:pt>
                <c:pt idx="3">
                  <c:v>2023. IV.</c:v>
                </c:pt>
                <c:pt idx="4">
                  <c:v>2024. I</c:v>
                </c:pt>
                <c:pt idx="5">
                  <c:v>2024. II.</c:v>
                </c:pt>
                <c:pt idx="6">
                  <c:v>2024. III.</c:v>
                </c:pt>
                <c:pt idx="7">
                  <c:v>2024. IV.</c:v>
                </c:pt>
                <c:pt idx="8">
                  <c:v>2025. I.</c:v>
                </c:pt>
              </c:strCache>
            </c:strRef>
          </c:cat>
          <c:val>
            <c:numRef>
              <c:f>'7. ábra'!$B$10:$J$10</c:f>
              <c:numCache>
                <c:formatCode>#\ ##0.0</c:formatCode>
                <c:ptCount val="9"/>
                <c:pt idx="0">
                  <c:v>181.33374860199999</c:v>
                </c:pt>
                <c:pt idx="1">
                  <c:v>202.23521181699999</c:v>
                </c:pt>
                <c:pt idx="2">
                  <c:v>218.97094078699999</c:v>
                </c:pt>
                <c:pt idx="3">
                  <c:v>233.54744399</c:v>
                </c:pt>
                <c:pt idx="4">
                  <c:v>215.95638387899996</c:v>
                </c:pt>
                <c:pt idx="5">
                  <c:v>199.928108933</c:v>
                </c:pt>
                <c:pt idx="6">
                  <c:v>199.24882109400002</c:v>
                </c:pt>
                <c:pt idx="7">
                  <c:v>202.16326460299999</c:v>
                </c:pt>
                <c:pt idx="8" formatCode="0.0">
                  <c:v>172.73164305400002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FD0C-4F55-BCD3-06FAC9A670FB}"/>
            </c:ext>
          </c:extLst>
        </c:ser>
        <c:ser>
          <c:idx val="2"/>
          <c:order val="2"/>
          <c:tx>
            <c:strRef>
              <c:f>'7. ábra'!$A$11</c:f>
              <c:strCache>
                <c:ptCount val="1"/>
                <c:pt idx="0">
                  <c:v>Élip forint folyószámla-, és egyéb éven belüli hitelei (milliárd Ft)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>
                  <a:defRPr sz="900" b="1"/>
                </a:pPr>
                <a:endParaRPr lang="hu-HU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'7. ábra'!$B$8:$J$8</c:f>
              <c:strCache>
                <c:ptCount val="9"/>
                <c:pt idx="0">
                  <c:v>2023. I.</c:v>
                </c:pt>
                <c:pt idx="1">
                  <c:v>2023. II.</c:v>
                </c:pt>
                <c:pt idx="2">
                  <c:v>2023. III.</c:v>
                </c:pt>
                <c:pt idx="3">
                  <c:v>2023. IV.</c:v>
                </c:pt>
                <c:pt idx="4">
                  <c:v>2024. I</c:v>
                </c:pt>
                <c:pt idx="5">
                  <c:v>2024. II.</c:v>
                </c:pt>
                <c:pt idx="6">
                  <c:v>2024. III.</c:v>
                </c:pt>
                <c:pt idx="7">
                  <c:v>2024. IV.</c:v>
                </c:pt>
                <c:pt idx="8">
                  <c:v>2025. I.</c:v>
                </c:pt>
              </c:strCache>
            </c:strRef>
          </c:cat>
          <c:val>
            <c:numRef>
              <c:f>'7. ábra'!$B$11:$J$11</c:f>
              <c:numCache>
                <c:formatCode>#\ ##0.0</c:formatCode>
                <c:ptCount val="9"/>
                <c:pt idx="0">
                  <c:v>241.35022582300002</c:v>
                </c:pt>
                <c:pt idx="1">
                  <c:v>197.24306457200001</c:v>
                </c:pt>
                <c:pt idx="2">
                  <c:v>194.72909168299998</c:v>
                </c:pt>
                <c:pt idx="3">
                  <c:v>170.01266267500003</c:v>
                </c:pt>
                <c:pt idx="4">
                  <c:v>196.121107679</c:v>
                </c:pt>
                <c:pt idx="5">
                  <c:v>181.422184133</c:v>
                </c:pt>
                <c:pt idx="6">
                  <c:v>200.159130973</c:v>
                </c:pt>
                <c:pt idx="7">
                  <c:v>223.779087164</c:v>
                </c:pt>
                <c:pt idx="8" formatCode="0.0">
                  <c:v>215.72768053300001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FD0C-4F55-BCD3-06FAC9A670FB}"/>
            </c:ext>
          </c:extLst>
        </c:ser>
        <c:ser>
          <c:idx val="3"/>
          <c:order val="3"/>
          <c:tx>
            <c:strRef>
              <c:f>'7. ábra'!$A$12</c:f>
              <c:strCache>
                <c:ptCount val="1"/>
                <c:pt idx="0">
                  <c:v>Élip egyéb hitelei (milliárd Ft)</c:v>
                </c:pt>
              </c:strCache>
            </c:strRef>
          </c:tx>
          <c:invertIfNegative val="0"/>
          <c:dLbls>
            <c:dLbl>
              <c:idx val="0"/>
              <c:layout>
                <c:manualLayout>
                  <c:x val="0"/>
                  <c:y val="-5.1065370929092108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0"/>
                  <c:y val="-4.9332540342034915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1.3495276653170895E-3"/>
                  <c:y val="-4.4803157772520738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0"/>
                  <c:y val="-4.9337279333858147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1.3495276653171389E-3"/>
                  <c:y val="-3.1236335527182767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9.8964218880155408E-17"/>
                  <c:y val="-3.8590886299009607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0"/>
                  <c:y val="-3.2626136013804333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>
                  <a:defRPr sz="900" b="1"/>
                </a:pPr>
                <a:endParaRPr lang="hu-HU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'7. ábra'!$B$8:$J$8</c:f>
              <c:strCache>
                <c:ptCount val="9"/>
                <c:pt idx="0">
                  <c:v>2023. I.</c:v>
                </c:pt>
                <c:pt idx="1">
                  <c:v>2023. II.</c:v>
                </c:pt>
                <c:pt idx="2">
                  <c:v>2023. III.</c:v>
                </c:pt>
                <c:pt idx="3">
                  <c:v>2023. IV.</c:v>
                </c:pt>
                <c:pt idx="4">
                  <c:v>2024. I</c:v>
                </c:pt>
                <c:pt idx="5">
                  <c:v>2024. II.</c:v>
                </c:pt>
                <c:pt idx="6">
                  <c:v>2024. III.</c:v>
                </c:pt>
                <c:pt idx="7">
                  <c:v>2024. IV.</c:v>
                </c:pt>
                <c:pt idx="8">
                  <c:v>2025. I.</c:v>
                </c:pt>
              </c:strCache>
            </c:strRef>
          </c:cat>
          <c:val>
            <c:numRef>
              <c:f>'7. ábra'!$B$12:$J$12</c:f>
              <c:numCache>
                <c:formatCode>#\ ##0.0</c:formatCode>
                <c:ptCount val="9"/>
                <c:pt idx="0">
                  <c:v>51.665518745</c:v>
                </c:pt>
                <c:pt idx="1">
                  <c:v>50.546713248000003</c:v>
                </c:pt>
                <c:pt idx="2">
                  <c:v>50.354096578000004</c:v>
                </c:pt>
                <c:pt idx="3">
                  <c:v>50.537855003000004</c:v>
                </c:pt>
                <c:pt idx="4">
                  <c:v>27.489268893000002</c:v>
                </c:pt>
                <c:pt idx="5">
                  <c:v>22.251734281000001</c:v>
                </c:pt>
                <c:pt idx="6">
                  <c:v>24.817740409000002</c:v>
                </c:pt>
                <c:pt idx="7">
                  <c:v>23.974099880999997</c:v>
                </c:pt>
                <c:pt idx="8" formatCode="0.0">
                  <c:v>20.461611992999998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FD0C-4F55-BCD3-06FAC9A670FB}"/>
            </c:ext>
          </c:extLst>
        </c:ser>
        <c:dLbls>
          <c:dLblPos val="inBase"/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100"/>
        <c:axId val="567774200"/>
        <c:axId val="567772240"/>
      </c:barChart>
      <c:catAx>
        <c:axId val="567774200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900"/>
            </a:pPr>
            <a:endParaRPr lang="hu-HU"/>
          </a:p>
        </c:txPr>
        <c:crossAx val="567772240"/>
        <c:crosses val="autoZero"/>
        <c:auto val="1"/>
        <c:lblAlgn val="ctr"/>
        <c:lblOffset val="100"/>
        <c:noMultiLvlLbl val="0"/>
      </c:catAx>
      <c:valAx>
        <c:axId val="567772240"/>
        <c:scaling>
          <c:orientation val="minMax"/>
          <c:max val="800"/>
        </c:scaling>
        <c:delete val="0"/>
        <c:axPos val="l"/>
        <c:majorGridlines/>
        <c:numFmt formatCode="#\ ##0.0" sourceLinked="1"/>
        <c:majorTickMark val="out"/>
        <c:minorTickMark val="none"/>
        <c:tickLblPos val="nextTo"/>
        <c:crossAx val="567774200"/>
        <c:crossesAt val="1"/>
        <c:crossBetween val="between"/>
      </c:valAx>
    </c:plotArea>
    <c:legend>
      <c:legendPos val="b"/>
      <c:layout>
        <c:manualLayout>
          <c:xMode val="edge"/>
          <c:yMode val="edge"/>
          <c:x val="1.9322410164922629E-2"/>
          <c:y val="0.91926641362036343"/>
          <c:w val="0.96061685837657385"/>
          <c:h val="7.8621625974683057E-2"/>
        </c:manualLayout>
      </c:layout>
      <c:overlay val="0"/>
      <c:txPr>
        <a:bodyPr/>
        <a:lstStyle/>
        <a:p>
          <a:pPr>
            <a:defRPr sz="800"/>
          </a:pPr>
          <a:endParaRPr lang="hu-HU"/>
        </a:p>
      </c:txPr>
    </c:legend>
    <c:plotVisOnly val="1"/>
    <c:dispBlanksAs val="gap"/>
    <c:showDLblsOverMax val="0"/>
  </c:chart>
  <c:spPr>
    <a:ln>
      <a:noFill/>
    </a:ln>
  </c:spPr>
  <c:txPr>
    <a:bodyPr/>
    <a:lstStyle/>
    <a:p>
      <a:pPr>
        <a:defRPr>
          <a:latin typeface="Times New Roman" panose="02020603050405020304" pitchFamily="18" charset="0"/>
          <a:cs typeface="Times New Roman" panose="02020603050405020304" pitchFamily="18" charset="0"/>
        </a:defRPr>
      </a:pPr>
      <a:endParaRPr lang="hu-HU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hu-H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4.6987713492335194E-2"/>
          <c:y val="3.1884057971014491E-2"/>
          <c:w val="0.93972726235307547"/>
          <c:h val="0.81347816342691504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'8. ábra'!$A$4</c:f>
              <c:strCache>
                <c:ptCount val="1"/>
                <c:pt idx="0">
                  <c:v>Forint %</c:v>
                </c:pt>
              </c:strCache>
            </c:strRef>
          </c:tx>
          <c:spPr>
            <a:solidFill>
              <a:schemeClr val="accent3"/>
            </a:solidFill>
            <a:ln w="3175">
              <a:solidFill>
                <a:sysClr val="windowText" lastClr="000000"/>
              </a:solidFill>
            </a:ln>
          </c:spPr>
          <c:invertIfNegative val="0"/>
          <c:dPt>
            <c:idx val="1"/>
            <c:invertIfNegative val="0"/>
            <c:bubble3D val="0"/>
            <c:spPr>
              <a:solidFill>
                <a:schemeClr val="accent1"/>
              </a:solidFill>
              <a:ln w="3175">
                <a:solidFill>
                  <a:sysClr val="windowText" lastClr="000000"/>
                </a:solidFill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F28F-4803-9E29-5FBC986106CF}"/>
              </c:ext>
            </c:extLst>
          </c:dPt>
          <c:dPt>
            <c:idx val="3"/>
            <c:invertIfNegative val="0"/>
            <c:bubble3D val="0"/>
            <c:spPr>
              <a:solidFill>
                <a:schemeClr val="accent1"/>
              </a:solidFill>
              <a:ln w="3175">
                <a:solidFill>
                  <a:sysClr val="windowText" lastClr="000000"/>
                </a:solidFill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F28F-4803-9E29-5FBC986106CF}"/>
              </c:ext>
            </c:extLst>
          </c:dPt>
          <c:dPt>
            <c:idx val="5"/>
            <c:invertIfNegative val="0"/>
            <c:bubble3D val="0"/>
            <c:spPr>
              <a:solidFill>
                <a:schemeClr val="accent1"/>
              </a:solidFill>
              <a:ln w="3175">
                <a:solidFill>
                  <a:sysClr val="windowText" lastClr="000000"/>
                </a:solidFill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F28F-4803-9E29-5FBC986106CF}"/>
              </c:ext>
            </c:extLst>
          </c:dPt>
          <c:dPt>
            <c:idx val="7"/>
            <c:invertIfNegative val="0"/>
            <c:bubble3D val="0"/>
            <c:spPr>
              <a:solidFill>
                <a:schemeClr val="accent1"/>
              </a:solidFill>
              <a:ln w="3175">
                <a:solidFill>
                  <a:sysClr val="windowText" lastClr="000000"/>
                </a:solidFill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F28F-4803-9E29-5FBC986106CF}"/>
              </c:ext>
            </c:extLst>
          </c:dPt>
          <c:dPt>
            <c:idx val="9"/>
            <c:invertIfNegative val="0"/>
            <c:bubble3D val="0"/>
            <c:spPr>
              <a:solidFill>
                <a:schemeClr val="accent1"/>
              </a:solidFill>
              <a:ln w="3175">
                <a:solidFill>
                  <a:sysClr val="windowText" lastClr="000000"/>
                </a:solidFill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9-F28F-4803-9E29-5FBC986106CF}"/>
              </c:ext>
            </c:extLst>
          </c:dPt>
          <c:dPt>
            <c:idx val="11"/>
            <c:invertIfNegative val="0"/>
            <c:bubble3D val="0"/>
            <c:spPr>
              <a:solidFill>
                <a:schemeClr val="accent1"/>
              </a:solidFill>
              <a:ln w="3175">
                <a:solidFill>
                  <a:sysClr val="windowText" lastClr="000000"/>
                </a:solidFill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B-F28F-4803-9E29-5FBC986106CF}"/>
              </c:ext>
            </c:extLst>
          </c:dPt>
          <c:dPt>
            <c:idx val="13"/>
            <c:invertIfNegative val="0"/>
            <c:bubble3D val="0"/>
            <c:spPr>
              <a:solidFill>
                <a:schemeClr val="accent1"/>
              </a:solidFill>
              <a:ln w="3175">
                <a:solidFill>
                  <a:sysClr val="windowText" lastClr="000000"/>
                </a:solidFill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D-F28F-4803-9E29-5FBC986106CF}"/>
              </c:ext>
            </c:extLst>
          </c:dPt>
          <c:dPt>
            <c:idx val="15"/>
            <c:invertIfNegative val="0"/>
            <c:bubble3D val="0"/>
            <c:spPr>
              <a:solidFill>
                <a:schemeClr val="accent1"/>
              </a:solidFill>
              <a:ln w="3175">
                <a:solidFill>
                  <a:sysClr val="windowText" lastClr="000000"/>
                </a:solidFill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F-F28F-4803-9E29-5FBC986106CF}"/>
              </c:ext>
            </c:extLst>
          </c:dPt>
          <c:dPt>
            <c:idx val="17"/>
            <c:invertIfNegative val="0"/>
            <c:bubble3D val="0"/>
            <c:spPr>
              <a:solidFill>
                <a:schemeClr val="accent1"/>
              </a:solidFill>
              <a:ln w="3175">
                <a:solidFill>
                  <a:sysClr val="windowText" lastClr="000000"/>
                </a:solidFill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1-F28F-4803-9E29-5FBC986106CF}"/>
              </c:ext>
            </c:extLst>
          </c:dPt>
          <c:dPt>
            <c:idx val="19"/>
            <c:invertIfNegative val="0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13-F28F-4803-9E29-5FBC986106CF}"/>
              </c:ext>
            </c:extLst>
          </c:dPt>
          <c:dPt>
            <c:idx val="21"/>
            <c:invertIfNegative val="0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15-F28F-4803-9E29-5FBC986106CF}"/>
              </c:ext>
            </c:extLst>
          </c:dPt>
          <c:dPt>
            <c:idx val="23"/>
            <c:invertIfNegative val="0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17-F28F-4803-9E29-5FBC986106CF}"/>
              </c:ext>
            </c:extLst>
          </c:dPt>
          <c:dPt>
            <c:idx val="25"/>
            <c:invertIfNegative val="0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19-F28F-4803-9E29-5FBC986106CF}"/>
              </c:ext>
            </c:extLst>
          </c:dPt>
          <c:dPt>
            <c:idx val="27"/>
            <c:invertIfNegative val="0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1B-F28F-4803-9E29-5FBC986106CF}"/>
              </c:ext>
            </c:extLst>
          </c:dPt>
          <c:dPt>
            <c:idx val="29"/>
            <c:invertIfNegative val="0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1D-F28F-4803-9E29-5FBC986106CF}"/>
              </c:ext>
            </c:extLst>
          </c:dPt>
          <c:dPt>
            <c:idx val="31"/>
            <c:invertIfNegative val="0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1F-F28F-4803-9E29-5FBC986106CF}"/>
              </c:ext>
            </c:extLst>
          </c:dPt>
          <c:dPt>
            <c:idx val="33"/>
            <c:invertIfNegative val="0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21-F28F-4803-9E29-5FBC986106CF}"/>
              </c:ext>
            </c:extLst>
          </c:dPt>
          <c:dPt>
            <c:idx val="35"/>
            <c:invertIfNegative val="0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23-F28F-4803-9E29-5FBC986106CF}"/>
              </c:ext>
            </c:extLst>
          </c:dPt>
          <c:dPt>
            <c:idx val="37"/>
            <c:invertIfNegative val="0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25-F28F-4803-9E29-5FBC986106CF}"/>
              </c:ext>
            </c:extLst>
          </c:dPt>
          <c:dPt>
            <c:idx val="39"/>
            <c:invertIfNegative val="0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27-F28F-4803-9E29-5FBC986106CF}"/>
              </c:ext>
            </c:extLst>
          </c:dPt>
          <c:dPt>
            <c:idx val="41"/>
            <c:invertIfNegative val="0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29-F28F-4803-9E29-5FBC986106CF}"/>
              </c:ext>
            </c:extLst>
          </c:dPt>
          <c:dPt>
            <c:idx val="43"/>
            <c:invertIfNegative val="0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2B-F28F-4803-9E29-5FBC986106CF}"/>
              </c:ext>
            </c:extLst>
          </c:dPt>
          <c:dPt>
            <c:idx val="45"/>
            <c:invertIfNegative val="0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2D-F28F-4803-9E29-5FBC986106CF}"/>
              </c:ext>
            </c:extLst>
          </c:dPt>
          <c:dPt>
            <c:idx val="47"/>
            <c:invertIfNegative val="0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2F-F28F-4803-9E29-5FBC986106CF}"/>
              </c:ext>
            </c:extLst>
          </c:dPt>
          <c:dPt>
            <c:idx val="49"/>
            <c:invertIfNegative val="0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31-F28F-4803-9E29-5FBC986106CF}"/>
              </c:ext>
            </c:extLst>
          </c:dPt>
          <c:dPt>
            <c:idx val="51"/>
            <c:invertIfNegative val="0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33-F28F-4803-9E29-5FBC986106CF}"/>
              </c:ext>
            </c:extLst>
          </c:dPt>
          <c:dPt>
            <c:idx val="53"/>
            <c:invertIfNegative val="0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35-F28F-4803-9E29-5FBC986106CF}"/>
              </c:ext>
            </c:extLst>
          </c:dPt>
          <c:dPt>
            <c:idx val="55"/>
            <c:invertIfNegative val="0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37-F28F-4803-9E29-5FBC986106CF}"/>
              </c:ext>
            </c:extLst>
          </c:dPt>
          <c:dPt>
            <c:idx val="57"/>
            <c:invertIfNegative val="0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39-F28F-4803-9E29-5FBC986106CF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>
                  <a:defRPr b="1"/>
                </a:pPr>
                <a:endParaRPr lang="hu-HU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multiLvlStrRef>
              <c:f>'8. ábra'!$B$2:$S$3</c:f>
              <c:multiLvlStrCache>
                <c:ptCount val="18"/>
                <c:lvl>
                  <c:pt idx="0">
                    <c:v>MG</c:v>
                  </c:pt>
                  <c:pt idx="1">
                    <c:v>ÉLIP</c:v>
                  </c:pt>
                  <c:pt idx="2">
                    <c:v>MG</c:v>
                  </c:pt>
                  <c:pt idx="3">
                    <c:v>ÉLIP</c:v>
                  </c:pt>
                  <c:pt idx="4">
                    <c:v>MG</c:v>
                  </c:pt>
                  <c:pt idx="5">
                    <c:v>ÉLIP</c:v>
                  </c:pt>
                  <c:pt idx="6">
                    <c:v>MG</c:v>
                  </c:pt>
                  <c:pt idx="7">
                    <c:v>ÉLIP</c:v>
                  </c:pt>
                  <c:pt idx="8">
                    <c:v>MG</c:v>
                  </c:pt>
                  <c:pt idx="9">
                    <c:v>ÉLIP</c:v>
                  </c:pt>
                  <c:pt idx="10">
                    <c:v>MG</c:v>
                  </c:pt>
                  <c:pt idx="11">
                    <c:v>ÉLIP</c:v>
                  </c:pt>
                  <c:pt idx="12">
                    <c:v>MG</c:v>
                  </c:pt>
                  <c:pt idx="13">
                    <c:v>ÉLIP</c:v>
                  </c:pt>
                  <c:pt idx="14">
                    <c:v>MG</c:v>
                  </c:pt>
                  <c:pt idx="15">
                    <c:v>ÉLIP</c:v>
                  </c:pt>
                  <c:pt idx="16">
                    <c:v>MG</c:v>
                  </c:pt>
                  <c:pt idx="17">
                    <c:v>ÉLIP</c:v>
                  </c:pt>
                </c:lvl>
                <c:lvl>
                  <c:pt idx="0">
                    <c:v>2023.I.</c:v>
                  </c:pt>
                  <c:pt idx="2">
                    <c:v>2023.II.</c:v>
                  </c:pt>
                  <c:pt idx="4">
                    <c:v>2023.III.</c:v>
                  </c:pt>
                  <c:pt idx="6">
                    <c:v>2023. IV.</c:v>
                  </c:pt>
                  <c:pt idx="8">
                    <c:v>2024. I.</c:v>
                  </c:pt>
                  <c:pt idx="10">
                    <c:v>2024. II.</c:v>
                  </c:pt>
                  <c:pt idx="12">
                    <c:v>2024. III.</c:v>
                  </c:pt>
                  <c:pt idx="14">
                    <c:v>2024. IV.</c:v>
                  </c:pt>
                  <c:pt idx="16">
                    <c:v>2025. I.</c:v>
                  </c:pt>
                </c:lvl>
              </c:multiLvlStrCache>
            </c:multiLvlStrRef>
          </c:cat>
          <c:val>
            <c:numRef>
              <c:f>'8. ábra'!$B$4:$S$4</c:f>
              <c:numCache>
                <c:formatCode>0.00</c:formatCode>
                <c:ptCount val="18"/>
                <c:pt idx="0">
                  <c:v>90.531217058667352</c:v>
                </c:pt>
                <c:pt idx="1">
                  <c:v>62.289050090186173</c:v>
                </c:pt>
                <c:pt idx="2">
                  <c:v>89.817138801405122</c:v>
                </c:pt>
                <c:pt idx="3">
                  <c:v>61.736979585132666</c:v>
                </c:pt>
                <c:pt idx="4">
                  <c:v>87.893967854736871</c:v>
                </c:pt>
                <c:pt idx="5">
                  <c:v>58.253138560847653</c:v>
                </c:pt>
                <c:pt idx="6">
                  <c:v>86.398075234548287</c:v>
                </c:pt>
                <c:pt idx="7">
                  <c:v>58.253138560847653</c:v>
                </c:pt>
                <c:pt idx="8" formatCode="#,##0.00">
                  <c:v>85.295132683821507</c:v>
                </c:pt>
                <c:pt idx="9" formatCode="#,##0.00">
                  <c:v>56.44271217707719</c:v>
                </c:pt>
                <c:pt idx="10" formatCode="#,##0.00">
                  <c:v>85.156348736776252</c:v>
                </c:pt>
                <c:pt idx="11" formatCode="#,##0.00">
                  <c:v>53.882758620798796</c:v>
                </c:pt>
                <c:pt idx="12" formatCode="#,##0.00">
                  <c:v>84.728666381853486</c:v>
                </c:pt>
                <c:pt idx="13" formatCode="#,##0.00">
                  <c:v>51.927066994325678</c:v>
                </c:pt>
                <c:pt idx="14" formatCode="#,##0.00">
                  <c:v>82.767674794333971</c:v>
                </c:pt>
                <c:pt idx="15" formatCode="#,##0.00">
                  <c:v>51.485628327069165</c:v>
                </c:pt>
                <c:pt idx="16">
                  <c:v>85.156348736776252</c:v>
                </c:pt>
                <c:pt idx="17">
                  <c:v>53.882758620798796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3A-F28F-4803-9E29-5FBC986106CF}"/>
            </c:ext>
          </c:extLst>
        </c:ser>
        <c:ser>
          <c:idx val="1"/>
          <c:order val="1"/>
          <c:tx>
            <c:strRef>
              <c:f>'8. ábra'!$A$5</c:f>
              <c:strCache>
                <c:ptCount val="1"/>
                <c:pt idx="0">
                  <c:v>Deviza %</c:v>
                </c:pt>
              </c:strCache>
            </c:strRef>
          </c:tx>
          <c:spPr>
            <a:ln>
              <a:solidFill>
                <a:schemeClr val="accent1"/>
              </a:solidFill>
            </a:ln>
          </c:spPr>
          <c:invertIfNegative val="0"/>
          <c:dPt>
            <c:idx val="1"/>
            <c:invertIfNegative val="0"/>
            <c:bubble3D val="0"/>
            <c:spPr>
              <a:solidFill>
                <a:schemeClr val="accent6">
                  <a:lumMod val="60000"/>
                  <a:lumOff val="40000"/>
                </a:schemeClr>
              </a:solidFill>
              <a:ln>
                <a:solidFill>
                  <a:schemeClr val="accent1"/>
                </a:solidFill>
              </a:ln>
            </c:spPr>
          </c:dPt>
          <c:dPt>
            <c:idx val="3"/>
            <c:invertIfNegative val="0"/>
            <c:bubble3D val="0"/>
            <c:spPr>
              <a:solidFill>
                <a:schemeClr val="accent6">
                  <a:lumMod val="60000"/>
                  <a:lumOff val="40000"/>
                </a:schemeClr>
              </a:solidFill>
              <a:ln>
                <a:solidFill>
                  <a:schemeClr val="accent1"/>
                </a:solidFill>
              </a:ln>
            </c:spPr>
          </c:dPt>
          <c:dPt>
            <c:idx val="5"/>
            <c:invertIfNegative val="0"/>
            <c:bubble3D val="0"/>
            <c:spPr>
              <a:solidFill>
                <a:schemeClr val="accent6">
                  <a:lumMod val="60000"/>
                  <a:lumOff val="40000"/>
                </a:schemeClr>
              </a:solidFill>
              <a:ln>
                <a:solidFill>
                  <a:schemeClr val="accent1"/>
                </a:solidFill>
              </a:ln>
            </c:spPr>
          </c:dPt>
          <c:dPt>
            <c:idx val="7"/>
            <c:invertIfNegative val="0"/>
            <c:bubble3D val="0"/>
            <c:spPr>
              <a:solidFill>
                <a:schemeClr val="accent6">
                  <a:lumMod val="60000"/>
                  <a:lumOff val="40000"/>
                </a:schemeClr>
              </a:solidFill>
              <a:ln>
                <a:solidFill>
                  <a:schemeClr val="accent1"/>
                </a:solidFill>
              </a:ln>
            </c:spPr>
          </c:dPt>
          <c:dPt>
            <c:idx val="9"/>
            <c:invertIfNegative val="0"/>
            <c:bubble3D val="0"/>
            <c:spPr>
              <a:solidFill>
                <a:schemeClr val="accent6">
                  <a:lumMod val="60000"/>
                  <a:lumOff val="40000"/>
                </a:schemeClr>
              </a:solidFill>
              <a:ln>
                <a:solidFill>
                  <a:schemeClr val="accent1"/>
                </a:solidFill>
              </a:ln>
            </c:spPr>
          </c:dPt>
          <c:dPt>
            <c:idx val="11"/>
            <c:invertIfNegative val="0"/>
            <c:bubble3D val="0"/>
            <c:spPr>
              <a:solidFill>
                <a:schemeClr val="accent6">
                  <a:lumMod val="60000"/>
                  <a:lumOff val="40000"/>
                </a:schemeClr>
              </a:solidFill>
              <a:ln>
                <a:solidFill>
                  <a:schemeClr val="accent1"/>
                </a:solidFill>
              </a:ln>
            </c:spPr>
          </c:dPt>
          <c:dPt>
            <c:idx val="13"/>
            <c:invertIfNegative val="0"/>
            <c:bubble3D val="0"/>
            <c:spPr>
              <a:solidFill>
                <a:schemeClr val="accent6">
                  <a:lumMod val="60000"/>
                  <a:lumOff val="40000"/>
                </a:schemeClr>
              </a:solidFill>
              <a:ln>
                <a:solidFill>
                  <a:schemeClr val="accent1"/>
                </a:solidFill>
              </a:ln>
            </c:spPr>
          </c:dPt>
          <c:dPt>
            <c:idx val="15"/>
            <c:invertIfNegative val="0"/>
            <c:bubble3D val="0"/>
            <c:spPr>
              <a:solidFill>
                <a:schemeClr val="accent6">
                  <a:lumMod val="60000"/>
                  <a:lumOff val="40000"/>
                </a:schemeClr>
              </a:solidFill>
              <a:ln>
                <a:solidFill>
                  <a:schemeClr val="accent1"/>
                </a:solidFill>
              </a:ln>
            </c:spPr>
          </c:dPt>
          <c:dPt>
            <c:idx val="17"/>
            <c:invertIfNegative val="0"/>
            <c:bubble3D val="0"/>
            <c:spPr>
              <a:solidFill>
                <a:schemeClr val="accent6">
                  <a:lumMod val="60000"/>
                  <a:lumOff val="40000"/>
                </a:schemeClr>
              </a:solidFill>
              <a:ln>
                <a:solidFill>
                  <a:schemeClr val="accent1"/>
                </a:solidFill>
              </a:ln>
            </c:spPr>
          </c:dPt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b="1"/>
                </a:pPr>
                <a:endParaRPr lang="hu-HU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multiLvlStrRef>
              <c:f>'8. ábra'!$B$2:$S$3</c:f>
              <c:multiLvlStrCache>
                <c:ptCount val="18"/>
                <c:lvl>
                  <c:pt idx="0">
                    <c:v>MG</c:v>
                  </c:pt>
                  <c:pt idx="1">
                    <c:v>ÉLIP</c:v>
                  </c:pt>
                  <c:pt idx="2">
                    <c:v>MG</c:v>
                  </c:pt>
                  <c:pt idx="3">
                    <c:v>ÉLIP</c:v>
                  </c:pt>
                  <c:pt idx="4">
                    <c:v>MG</c:v>
                  </c:pt>
                  <c:pt idx="5">
                    <c:v>ÉLIP</c:v>
                  </c:pt>
                  <c:pt idx="6">
                    <c:v>MG</c:v>
                  </c:pt>
                  <c:pt idx="7">
                    <c:v>ÉLIP</c:v>
                  </c:pt>
                  <c:pt idx="8">
                    <c:v>MG</c:v>
                  </c:pt>
                  <c:pt idx="9">
                    <c:v>ÉLIP</c:v>
                  </c:pt>
                  <c:pt idx="10">
                    <c:v>MG</c:v>
                  </c:pt>
                  <c:pt idx="11">
                    <c:v>ÉLIP</c:v>
                  </c:pt>
                  <c:pt idx="12">
                    <c:v>MG</c:v>
                  </c:pt>
                  <c:pt idx="13">
                    <c:v>ÉLIP</c:v>
                  </c:pt>
                  <c:pt idx="14">
                    <c:v>MG</c:v>
                  </c:pt>
                  <c:pt idx="15">
                    <c:v>ÉLIP</c:v>
                  </c:pt>
                  <c:pt idx="16">
                    <c:v>MG</c:v>
                  </c:pt>
                  <c:pt idx="17">
                    <c:v>ÉLIP</c:v>
                  </c:pt>
                </c:lvl>
                <c:lvl>
                  <c:pt idx="0">
                    <c:v>2023.I.</c:v>
                  </c:pt>
                  <c:pt idx="2">
                    <c:v>2023.II.</c:v>
                  </c:pt>
                  <c:pt idx="4">
                    <c:v>2023.III.</c:v>
                  </c:pt>
                  <c:pt idx="6">
                    <c:v>2023. IV.</c:v>
                  </c:pt>
                  <c:pt idx="8">
                    <c:v>2024. I.</c:v>
                  </c:pt>
                  <c:pt idx="10">
                    <c:v>2024. II.</c:v>
                  </c:pt>
                  <c:pt idx="12">
                    <c:v>2024. III.</c:v>
                  </c:pt>
                  <c:pt idx="14">
                    <c:v>2024. IV.</c:v>
                  </c:pt>
                  <c:pt idx="16">
                    <c:v>2025. I.</c:v>
                  </c:pt>
                </c:lvl>
              </c:multiLvlStrCache>
            </c:multiLvlStrRef>
          </c:cat>
          <c:val>
            <c:numRef>
              <c:f>'8. ábra'!$B$5:$S$5</c:f>
              <c:numCache>
                <c:formatCode>0.00</c:formatCode>
                <c:ptCount val="18"/>
                <c:pt idx="0">
                  <c:v>9.4687829413326519</c:v>
                </c:pt>
                <c:pt idx="1">
                  <c:v>37.71094990981382</c:v>
                </c:pt>
                <c:pt idx="2">
                  <c:v>10.182861198594871</c:v>
                </c:pt>
                <c:pt idx="3">
                  <c:v>38.26302041486732</c:v>
                </c:pt>
                <c:pt idx="4">
                  <c:v>12.106032145263148</c:v>
                </c:pt>
                <c:pt idx="5">
                  <c:v>41.74686143915234</c:v>
                </c:pt>
                <c:pt idx="6">
                  <c:v>13.601924765451724</c:v>
                </c:pt>
                <c:pt idx="7">
                  <c:v>41.74686143915234</c:v>
                </c:pt>
                <c:pt idx="8" formatCode="#,##0.00">
                  <c:v>14.704867316178499</c:v>
                </c:pt>
                <c:pt idx="9" formatCode="#,##0.00">
                  <c:v>43.55728782292281</c:v>
                </c:pt>
                <c:pt idx="10" formatCode="#,##0.00">
                  <c:v>14.843651263223739</c:v>
                </c:pt>
                <c:pt idx="11" formatCode="#,##0.00">
                  <c:v>46.117241379201197</c:v>
                </c:pt>
                <c:pt idx="12" formatCode="#,##0.00">
                  <c:v>15.271333618146517</c:v>
                </c:pt>
                <c:pt idx="13" formatCode="#,##0.00">
                  <c:v>48.072933005674315</c:v>
                </c:pt>
                <c:pt idx="14" formatCode="#,##0.00">
                  <c:v>17.232325205666037</c:v>
                </c:pt>
                <c:pt idx="15" formatCode="#,##0.00">
                  <c:v>48.514371672930835</c:v>
                </c:pt>
                <c:pt idx="16">
                  <c:v>14.843651263223739</c:v>
                </c:pt>
                <c:pt idx="17">
                  <c:v>46.117241379201197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3B-F28F-4803-9E29-5FBC986106CF}"/>
            </c:ext>
          </c:extLst>
        </c:ser>
        <c:dLbls>
          <c:dLblPos val="inBase"/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100"/>
        <c:axId val="567764008"/>
        <c:axId val="567766360"/>
      </c:barChart>
      <c:catAx>
        <c:axId val="567764008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1000"/>
            </a:pPr>
            <a:endParaRPr lang="hu-HU"/>
          </a:p>
        </c:txPr>
        <c:crossAx val="567766360"/>
        <c:crosses val="autoZero"/>
        <c:auto val="1"/>
        <c:lblAlgn val="ctr"/>
        <c:lblOffset val="100"/>
        <c:noMultiLvlLbl val="0"/>
      </c:catAx>
      <c:valAx>
        <c:axId val="567766360"/>
        <c:scaling>
          <c:orientation val="minMax"/>
          <c:max val="100"/>
        </c:scaling>
        <c:delete val="0"/>
        <c:axPos val="l"/>
        <c:majorGridlines/>
        <c:numFmt formatCode="0.00" sourceLinked="1"/>
        <c:majorTickMark val="out"/>
        <c:minorTickMark val="none"/>
        <c:tickLblPos val="nextTo"/>
        <c:txPr>
          <a:bodyPr/>
          <a:lstStyle/>
          <a:p>
            <a:pPr>
              <a:defRPr sz="900"/>
            </a:pPr>
            <a:endParaRPr lang="hu-HU"/>
          </a:p>
        </c:txPr>
        <c:crossAx val="567764008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0.44247972109076428"/>
          <c:y val="0.94189962497572055"/>
          <c:w val="0.13396977551719078"/>
          <c:h val="4.2920109369630505E-2"/>
        </c:manualLayout>
      </c:layout>
      <c:overlay val="0"/>
      <c:txPr>
        <a:bodyPr/>
        <a:lstStyle/>
        <a:p>
          <a:pPr>
            <a:defRPr sz="1000"/>
          </a:pPr>
          <a:endParaRPr lang="hu-HU"/>
        </a:p>
      </c:txPr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800">
          <a:latin typeface="Times New Roman" panose="02020603050405020304" pitchFamily="18" charset="0"/>
          <a:cs typeface="Times New Roman" panose="02020603050405020304" pitchFamily="18" charset="0"/>
        </a:defRPr>
      </a:pPr>
      <a:endParaRPr lang="hu-HU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hu-H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hu-HU"/>
        </a:p>
      </c:txPr>
    </c:title>
    <c:autoTitleDeleted val="0"/>
    <c:plotArea>
      <c:layout/>
      <c:lineChart>
        <c:grouping val="standard"/>
        <c:varyColors val="0"/>
        <c:ser>
          <c:idx val="1"/>
          <c:order val="0"/>
          <c:tx>
            <c:strRef>
              <c:f>'9. ábra'!$C$6</c:f>
              <c:strCache>
                <c:ptCount val="1"/>
                <c:pt idx="0">
                  <c:v>Deviza %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multiLvlStrRef>
              <c:f>'9. ábra'!$D$3:$L$4</c:f>
              <c:multiLvlStrCache>
                <c:ptCount val="9"/>
                <c:lvl>
                  <c:pt idx="0">
                    <c:v>MG</c:v>
                  </c:pt>
                  <c:pt idx="1">
                    <c:v>MG</c:v>
                  </c:pt>
                  <c:pt idx="2">
                    <c:v>MG</c:v>
                  </c:pt>
                  <c:pt idx="3">
                    <c:v>MG</c:v>
                  </c:pt>
                  <c:pt idx="4">
                    <c:v>MG</c:v>
                  </c:pt>
                  <c:pt idx="5">
                    <c:v>MG</c:v>
                  </c:pt>
                  <c:pt idx="6">
                    <c:v>MG</c:v>
                  </c:pt>
                  <c:pt idx="7">
                    <c:v>MG</c:v>
                  </c:pt>
                  <c:pt idx="8">
                    <c:v>MG</c:v>
                  </c:pt>
                </c:lvl>
                <c:lvl>
                  <c:pt idx="0">
                    <c:v>2023.I.</c:v>
                  </c:pt>
                  <c:pt idx="1">
                    <c:v>2023.II.</c:v>
                  </c:pt>
                  <c:pt idx="2">
                    <c:v>2023.III.</c:v>
                  </c:pt>
                  <c:pt idx="3">
                    <c:v>2023. IV.</c:v>
                  </c:pt>
                  <c:pt idx="4">
                    <c:v>2024. I.</c:v>
                  </c:pt>
                  <c:pt idx="5">
                    <c:v>2024. II.</c:v>
                  </c:pt>
                  <c:pt idx="6">
                    <c:v>2024. III.</c:v>
                  </c:pt>
                  <c:pt idx="7">
                    <c:v>2024. IV.</c:v>
                  </c:pt>
                  <c:pt idx="8">
                    <c:v>2025. I.</c:v>
                  </c:pt>
                </c:lvl>
              </c:multiLvlStrCache>
            </c:multiLvlStrRef>
          </c:cat>
          <c:val>
            <c:numRef>
              <c:f>'9. ábra'!$D$6:$L$6</c:f>
              <c:numCache>
                <c:formatCode>0.00</c:formatCode>
                <c:ptCount val="9"/>
                <c:pt idx="0">
                  <c:v>9.4687829413326519</c:v>
                </c:pt>
                <c:pt idx="1">
                  <c:v>10.182861198594871</c:v>
                </c:pt>
                <c:pt idx="2">
                  <c:v>12.106032145263148</c:v>
                </c:pt>
                <c:pt idx="3">
                  <c:v>13.601924765451724</c:v>
                </c:pt>
                <c:pt idx="4" formatCode="#,##0.00">
                  <c:v>14.704867316178499</c:v>
                </c:pt>
                <c:pt idx="5" formatCode="#,##0.00">
                  <c:v>14.843651263223739</c:v>
                </c:pt>
                <c:pt idx="6" formatCode="#,##0.00">
                  <c:v>15.271333618146517</c:v>
                </c:pt>
                <c:pt idx="7" formatCode="#,##0.00">
                  <c:v>17.232325205666037</c:v>
                </c:pt>
                <c:pt idx="8">
                  <c:v>14.843651263223739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88511920"/>
        <c:axId val="384783264"/>
      </c:lineChart>
      <c:catAx>
        <c:axId val="3885119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hu-HU"/>
          </a:p>
        </c:txPr>
        <c:crossAx val="384783264"/>
        <c:crosses val="autoZero"/>
        <c:auto val="1"/>
        <c:lblAlgn val="ctr"/>
        <c:lblOffset val="100"/>
        <c:noMultiLvlLbl val="0"/>
      </c:catAx>
      <c:valAx>
        <c:axId val="384783264"/>
        <c:scaling>
          <c:orientation val="minMax"/>
          <c:min val="9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hu-HU"/>
          </a:p>
        </c:txPr>
        <c:crossAx val="38851192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hu-HU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hu-H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1"/>
          <c:order val="0"/>
          <c:tx>
            <c:strRef>
              <c:f>'9. ábra'!$C$6</c:f>
              <c:strCache>
                <c:ptCount val="1"/>
                <c:pt idx="0">
                  <c:v>Deviza %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endParaRPr lang="hu-HU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multiLvlStrRef>
              <c:f>'9. ábra'!$D$3:$L$4</c:f>
              <c:multiLvlStrCache>
                <c:ptCount val="9"/>
                <c:lvl>
                  <c:pt idx="0">
                    <c:v>MG</c:v>
                  </c:pt>
                  <c:pt idx="1">
                    <c:v>MG</c:v>
                  </c:pt>
                  <c:pt idx="2">
                    <c:v>MG</c:v>
                  </c:pt>
                  <c:pt idx="3">
                    <c:v>MG</c:v>
                  </c:pt>
                  <c:pt idx="4">
                    <c:v>MG</c:v>
                  </c:pt>
                  <c:pt idx="5">
                    <c:v>MG</c:v>
                  </c:pt>
                  <c:pt idx="6">
                    <c:v>MG</c:v>
                  </c:pt>
                  <c:pt idx="7">
                    <c:v>MG</c:v>
                  </c:pt>
                  <c:pt idx="8">
                    <c:v>MG</c:v>
                  </c:pt>
                </c:lvl>
                <c:lvl>
                  <c:pt idx="0">
                    <c:v>2023.I.</c:v>
                  </c:pt>
                  <c:pt idx="1">
                    <c:v>2023.II.</c:v>
                  </c:pt>
                  <c:pt idx="2">
                    <c:v>2023.III.</c:v>
                  </c:pt>
                  <c:pt idx="3">
                    <c:v>2023. IV.</c:v>
                  </c:pt>
                  <c:pt idx="4">
                    <c:v>2024. I.</c:v>
                  </c:pt>
                  <c:pt idx="5">
                    <c:v>2024. II.</c:v>
                  </c:pt>
                  <c:pt idx="6">
                    <c:v>2024. III.</c:v>
                  </c:pt>
                  <c:pt idx="7">
                    <c:v>2024. IV.</c:v>
                  </c:pt>
                  <c:pt idx="8">
                    <c:v>2025. I.</c:v>
                  </c:pt>
                </c:lvl>
              </c:multiLvlStrCache>
            </c:multiLvlStrRef>
          </c:cat>
          <c:val>
            <c:numRef>
              <c:f>'9. ábra'!$D$6:$L$6</c:f>
              <c:numCache>
                <c:formatCode>0.00</c:formatCode>
                <c:ptCount val="9"/>
                <c:pt idx="0">
                  <c:v>9.4687829413326519</c:v>
                </c:pt>
                <c:pt idx="1">
                  <c:v>10.182861198594871</c:v>
                </c:pt>
                <c:pt idx="2">
                  <c:v>12.106032145263148</c:v>
                </c:pt>
                <c:pt idx="3">
                  <c:v>13.601924765451724</c:v>
                </c:pt>
                <c:pt idx="4" formatCode="#,##0.00">
                  <c:v>14.704867316178499</c:v>
                </c:pt>
                <c:pt idx="5" formatCode="#,##0.00">
                  <c:v>14.843651263223739</c:v>
                </c:pt>
                <c:pt idx="6" formatCode="#,##0.00">
                  <c:v>15.271333618146517</c:v>
                </c:pt>
                <c:pt idx="7" formatCode="#,##0.00">
                  <c:v>17.232325205666037</c:v>
                </c:pt>
                <c:pt idx="8">
                  <c:v>14.843651263223739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81341656"/>
        <c:axId val="581345184"/>
      </c:lineChart>
      <c:catAx>
        <c:axId val="58134165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hu-HU"/>
          </a:p>
        </c:txPr>
        <c:crossAx val="581345184"/>
        <c:crosses val="autoZero"/>
        <c:auto val="1"/>
        <c:lblAlgn val="ctr"/>
        <c:lblOffset val="100"/>
        <c:noMultiLvlLbl val="0"/>
      </c:catAx>
      <c:valAx>
        <c:axId val="581345184"/>
        <c:scaling>
          <c:orientation val="minMax"/>
          <c:min val="9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hu-HU"/>
          </a:p>
        </c:txPr>
        <c:crossAx val="58134165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ysClr val="windowText" lastClr="000000"/>
          </a:solidFill>
          <a:latin typeface="Times New Roman" panose="02020603050405020304" pitchFamily="18" charset="0"/>
          <a:cs typeface="Times New Roman" panose="02020603050405020304" pitchFamily="18" charset="0"/>
        </a:defRPr>
      </a:pPr>
      <a:endParaRPr lang="hu-HU"/>
    </a:p>
  </c:tx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hu-H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1"/>
          <c:order val="0"/>
          <c:tx>
            <c:strRef>
              <c:f>'10. ábra'!$C$9</c:f>
              <c:strCache>
                <c:ptCount val="1"/>
                <c:pt idx="0">
                  <c:v>Deviza %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endParaRPr lang="hu-HU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multiLvlStrRef>
              <c:f>'10. ábra'!$D$6:$L$7</c:f>
              <c:multiLvlStrCache>
                <c:ptCount val="9"/>
                <c:lvl>
                  <c:pt idx="0">
                    <c:v>ÉLIP</c:v>
                  </c:pt>
                  <c:pt idx="1">
                    <c:v>ÉLIP</c:v>
                  </c:pt>
                  <c:pt idx="2">
                    <c:v>ÉLIP</c:v>
                  </c:pt>
                  <c:pt idx="3">
                    <c:v>ÉLIP</c:v>
                  </c:pt>
                  <c:pt idx="4">
                    <c:v>ÉLIP</c:v>
                  </c:pt>
                  <c:pt idx="5">
                    <c:v>ÉLIP</c:v>
                  </c:pt>
                  <c:pt idx="6">
                    <c:v>ÉLIP</c:v>
                  </c:pt>
                  <c:pt idx="7">
                    <c:v>ÉLIP</c:v>
                  </c:pt>
                  <c:pt idx="8">
                    <c:v>ÉLIP</c:v>
                  </c:pt>
                </c:lvl>
                <c:lvl>
                  <c:pt idx="0">
                    <c:v>2023.I.</c:v>
                  </c:pt>
                  <c:pt idx="1">
                    <c:v>2023.II.</c:v>
                  </c:pt>
                  <c:pt idx="2">
                    <c:v>2023.III.</c:v>
                  </c:pt>
                  <c:pt idx="3">
                    <c:v>2023. IV.</c:v>
                  </c:pt>
                  <c:pt idx="4">
                    <c:v>2024. I.</c:v>
                  </c:pt>
                  <c:pt idx="5">
                    <c:v>2024. II.</c:v>
                  </c:pt>
                  <c:pt idx="6">
                    <c:v>2024. III.</c:v>
                  </c:pt>
                  <c:pt idx="7">
                    <c:v>2024. IV.</c:v>
                  </c:pt>
                  <c:pt idx="8">
                    <c:v>2025. I. </c:v>
                  </c:pt>
                </c:lvl>
              </c:multiLvlStrCache>
            </c:multiLvlStrRef>
          </c:cat>
          <c:val>
            <c:numRef>
              <c:f>'10. ábra'!$D$9:$L$9</c:f>
              <c:numCache>
                <c:formatCode>0.00</c:formatCode>
                <c:ptCount val="9"/>
                <c:pt idx="0">
                  <c:v>37.71094990981382</c:v>
                </c:pt>
                <c:pt idx="1">
                  <c:v>38.26302041486732</c:v>
                </c:pt>
                <c:pt idx="2">
                  <c:v>41.74686143915234</c:v>
                </c:pt>
                <c:pt idx="3">
                  <c:v>41.74686143915234</c:v>
                </c:pt>
                <c:pt idx="4" formatCode="#,##0.00">
                  <c:v>43.55728782292281</c:v>
                </c:pt>
                <c:pt idx="5" formatCode="#,##0.00">
                  <c:v>46.117241379201197</c:v>
                </c:pt>
                <c:pt idx="6" formatCode="#,##0.00">
                  <c:v>48.072933005674315</c:v>
                </c:pt>
                <c:pt idx="7" formatCode="#,##0.00">
                  <c:v>48.514371672930835</c:v>
                </c:pt>
                <c:pt idx="8" formatCode="0.0">
                  <c:v>46.117241379201197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81351848"/>
        <c:axId val="581342048"/>
      </c:lineChart>
      <c:catAx>
        <c:axId val="5813518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hu-HU"/>
          </a:p>
        </c:txPr>
        <c:crossAx val="581342048"/>
        <c:crosses val="autoZero"/>
        <c:auto val="1"/>
        <c:lblAlgn val="ctr"/>
        <c:lblOffset val="100"/>
        <c:noMultiLvlLbl val="0"/>
      </c:catAx>
      <c:valAx>
        <c:axId val="581342048"/>
        <c:scaling>
          <c:orientation val="minMax"/>
          <c:min val="35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hu-HU"/>
          </a:p>
        </c:txPr>
        <c:crossAx val="58135184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ysClr val="windowText" lastClr="000000"/>
          </a:solidFill>
          <a:latin typeface="Times New Roman" panose="02020603050405020304" pitchFamily="18" charset="0"/>
          <a:cs typeface="Times New Roman" panose="02020603050405020304" pitchFamily="18" charset="0"/>
        </a:defRPr>
      </a:pPr>
      <a:endParaRPr lang="hu-HU"/>
    </a:p>
  </c:txPr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hu-H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'11. ábra'!$D$6</c:f>
              <c:strCache>
                <c:ptCount val="1"/>
                <c:pt idx="0">
                  <c:v>Mezőgazdaság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ysClr val="windowText" lastClr="000000"/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endParaRPr lang="hu-HU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'11. ábra'!$E$5:$J$5</c:f>
              <c:strCache>
                <c:ptCount val="6"/>
                <c:pt idx="0">
                  <c:v>Beruházási hitelek</c:v>
                </c:pt>
                <c:pt idx="1">
                  <c:v>Hosszú lej. forgóeszközhitelek</c:v>
                </c:pt>
                <c:pt idx="2">
                  <c:v>Forint folyószámlahitelek</c:v>
                </c:pt>
                <c:pt idx="3">
                  <c:v>Egyéb éven belüli hitelek</c:v>
                </c:pt>
                <c:pt idx="4">
                  <c:v>Egyéb hitelek</c:v>
                </c:pt>
                <c:pt idx="5">
                  <c:v>Forinthitelek összesen</c:v>
                </c:pt>
              </c:strCache>
            </c:strRef>
          </c:cat>
          <c:val>
            <c:numRef>
              <c:f>'11. ábra'!$E$6:$J$6</c:f>
              <c:numCache>
                <c:formatCode>#\ ##0.0</c:formatCode>
                <c:ptCount val="6"/>
                <c:pt idx="0">
                  <c:v>4.8634932808200002</c:v>
                </c:pt>
                <c:pt idx="1">
                  <c:v>1.0476562459799998</c:v>
                </c:pt>
                <c:pt idx="2">
                  <c:v>1.6268495764000002</c:v>
                </c:pt>
                <c:pt idx="3">
                  <c:v>0.30450556200999901</c:v>
                </c:pt>
                <c:pt idx="4">
                  <c:v>0.46863761526000003</c:v>
                </c:pt>
                <c:pt idx="5">
                  <c:v>8.3111422804699995</c:v>
                </c:pt>
              </c:numCache>
            </c:numRef>
          </c:val>
        </c:ser>
        <c:ser>
          <c:idx val="1"/>
          <c:order val="1"/>
          <c:tx>
            <c:strRef>
              <c:f>'11. ábra'!$D$7</c:f>
              <c:strCache>
                <c:ptCount val="1"/>
                <c:pt idx="0">
                  <c:v>Élelmiszeripar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ysClr val="windowText" lastClr="000000"/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endParaRPr lang="hu-HU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'11. ábra'!$E$5:$J$5</c:f>
              <c:strCache>
                <c:ptCount val="6"/>
                <c:pt idx="0">
                  <c:v>Beruházási hitelek</c:v>
                </c:pt>
                <c:pt idx="1">
                  <c:v>Hosszú lej. forgóeszközhitelek</c:v>
                </c:pt>
                <c:pt idx="2">
                  <c:v>Forint folyószámlahitelek</c:v>
                </c:pt>
                <c:pt idx="3">
                  <c:v>Egyéb éven belüli hitelek</c:v>
                </c:pt>
                <c:pt idx="4">
                  <c:v>Egyéb hitelek</c:v>
                </c:pt>
                <c:pt idx="5">
                  <c:v>Forinthitelek összesen</c:v>
                </c:pt>
              </c:strCache>
            </c:strRef>
          </c:cat>
          <c:val>
            <c:numRef>
              <c:f>'11. ábra'!$E$7:$J$7</c:f>
              <c:numCache>
                <c:formatCode>#\ ##0.0</c:formatCode>
                <c:ptCount val="6"/>
                <c:pt idx="0">
                  <c:v>1.4884217306400001</c:v>
                </c:pt>
                <c:pt idx="1">
                  <c:v>0.83921514042000001</c:v>
                </c:pt>
                <c:pt idx="2">
                  <c:v>0.88071573726999997</c:v>
                </c:pt>
                <c:pt idx="3">
                  <c:v>0.37384769576999999</c:v>
                </c:pt>
                <c:pt idx="4">
                  <c:v>5.3176659190000003E-2</c:v>
                </c:pt>
                <c:pt idx="5">
                  <c:v>3.6353769632900002</c:v>
                </c:pt>
              </c:numCache>
            </c:numRef>
          </c:val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581346360"/>
        <c:axId val="581351064"/>
      </c:barChart>
      <c:catAx>
        <c:axId val="581346360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hu-HU"/>
          </a:p>
        </c:txPr>
        <c:crossAx val="581351064"/>
        <c:crosses val="autoZero"/>
        <c:auto val="1"/>
        <c:lblAlgn val="ctr"/>
        <c:lblOffset val="100"/>
        <c:noMultiLvlLbl val="0"/>
      </c:catAx>
      <c:valAx>
        <c:axId val="58135106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\ 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hu-HU"/>
          </a:p>
        </c:txPr>
        <c:crossAx val="58134636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Times New Roman" panose="02020603050405020304" pitchFamily="18" charset="0"/>
              <a:ea typeface="+mn-ea"/>
              <a:cs typeface="Times New Roman" panose="02020603050405020304" pitchFamily="18" charset="0"/>
            </a:defRPr>
          </a:pPr>
          <a:endParaRPr lang="hu-HU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ysClr val="windowText" lastClr="000000"/>
          </a:solidFill>
          <a:latin typeface="Times New Roman" panose="02020603050405020304" pitchFamily="18" charset="0"/>
          <a:cs typeface="Times New Roman" panose="02020603050405020304" pitchFamily="18" charset="0"/>
        </a:defRPr>
      </a:pPr>
      <a:endParaRPr lang="hu-HU"/>
    </a:p>
  </c:txPr>
  <c:printSettings>
    <c:headerFooter/>
    <c:pageMargins b="0.75" l="0.7" r="0.7" t="0.75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hu-H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'12. ábra'!$F$8</c:f>
              <c:strCache>
                <c:ptCount val="1"/>
                <c:pt idx="0">
                  <c:v>Mezőgazdaság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ysClr val="windowText" lastClr="000000"/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endParaRPr lang="hu-HU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'12. ábra'!$G$7:$K$7</c:f>
              <c:strCache>
                <c:ptCount val="5"/>
                <c:pt idx="0">
                  <c:v>Beruházási hitelek</c:v>
                </c:pt>
                <c:pt idx="1">
                  <c:v>Hosszú lej. forgóeszközhitelek</c:v>
                </c:pt>
                <c:pt idx="2">
                  <c:v>Éven belüli hitelek</c:v>
                </c:pt>
                <c:pt idx="3">
                  <c:v>Egyéb hitelek</c:v>
                </c:pt>
                <c:pt idx="4">
                  <c:v>Devizahitelek összesen</c:v>
                </c:pt>
              </c:strCache>
            </c:strRef>
          </c:cat>
          <c:val>
            <c:numRef>
              <c:f>'12. ábra'!$G$8:$K$8</c:f>
              <c:numCache>
                <c:formatCode>#\ ##0.0</c:formatCode>
                <c:ptCount val="5"/>
                <c:pt idx="0">
                  <c:v>1.0429483849500001</c:v>
                </c:pt>
                <c:pt idx="1">
                  <c:v>0.28536220643999999</c:v>
                </c:pt>
                <c:pt idx="2">
                  <c:v>0.31909793787000001</c:v>
                </c:pt>
                <c:pt idx="3">
                  <c:v>5.338016508E-2</c:v>
                </c:pt>
                <c:pt idx="4">
                  <c:v>1.7007886943399999</c:v>
                </c:pt>
              </c:numCache>
            </c:numRef>
          </c:val>
        </c:ser>
        <c:ser>
          <c:idx val="1"/>
          <c:order val="1"/>
          <c:tx>
            <c:strRef>
              <c:f>'12. ábra'!$F$9</c:f>
              <c:strCache>
                <c:ptCount val="1"/>
                <c:pt idx="0">
                  <c:v>Élelmiszeripar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ysClr val="windowText" lastClr="000000"/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endParaRPr lang="hu-HU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'12. ábra'!$G$7:$K$7</c:f>
              <c:strCache>
                <c:ptCount val="5"/>
                <c:pt idx="0">
                  <c:v>Beruházási hitelek</c:v>
                </c:pt>
                <c:pt idx="1">
                  <c:v>Hosszú lej. forgóeszközhitelek</c:v>
                </c:pt>
                <c:pt idx="2">
                  <c:v>Éven belüli hitelek</c:v>
                </c:pt>
                <c:pt idx="3">
                  <c:v>Egyéb hitelek</c:v>
                </c:pt>
                <c:pt idx="4">
                  <c:v>Devizahitelek összesen</c:v>
                </c:pt>
              </c:strCache>
            </c:strRef>
          </c:cat>
          <c:val>
            <c:numRef>
              <c:f>'12. ábra'!$G$9:$K$9</c:f>
              <c:numCache>
                <c:formatCode>#\ ##0.0</c:formatCode>
                <c:ptCount val="5"/>
                <c:pt idx="0">
                  <c:v>1.5283754975000001</c:v>
                </c:pt>
                <c:pt idx="1">
                  <c:v>0.88810129012000005</c:v>
                </c:pt>
                <c:pt idx="2">
                  <c:v>0.90271337228999993</c:v>
                </c:pt>
                <c:pt idx="3">
                  <c:v>0.15143946074</c:v>
                </c:pt>
                <c:pt idx="4">
                  <c:v>3.4706296206500005</c:v>
                </c:pt>
              </c:numCache>
            </c:numRef>
          </c:val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581342832"/>
        <c:axId val="581345968"/>
      </c:barChart>
      <c:catAx>
        <c:axId val="581342832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hu-HU"/>
          </a:p>
        </c:txPr>
        <c:crossAx val="581345968"/>
        <c:crosses val="autoZero"/>
        <c:auto val="1"/>
        <c:lblAlgn val="ctr"/>
        <c:lblOffset val="100"/>
        <c:noMultiLvlLbl val="0"/>
      </c:catAx>
      <c:valAx>
        <c:axId val="58134596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\ 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hu-HU"/>
          </a:p>
        </c:txPr>
        <c:crossAx val="58134283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Times New Roman" panose="02020603050405020304" pitchFamily="18" charset="0"/>
              <a:ea typeface="+mn-ea"/>
              <a:cs typeface="Times New Roman" panose="02020603050405020304" pitchFamily="18" charset="0"/>
            </a:defRPr>
          </a:pPr>
          <a:endParaRPr lang="hu-HU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ysClr val="windowText" lastClr="000000"/>
          </a:solidFill>
          <a:latin typeface="Times New Roman" panose="02020603050405020304" pitchFamily="18" charset="0"/>
          <a:cs typeface="Times New Roman" panose="02020603050405020304" pitchFamily="18" charset="0"/>
        </a:defRPr>
      </a:pPr>
      <a:endParaRPr lang="hu-HU"/>
    </a:p>
  </c:txPr>
  <c:printSettings>
    <c:headerFooter/>
    <c:pageMargins b="0.75" l="0.7" r="0.7" t="0.75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hu-H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1512874901889586E-2"/>
          <c:y val="4.3456783364357598E-2"/>
          <c:w val="0.93350457512862506"/>
          <c:h val="0.64233760787983163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'13. ábra'!$A$6</c:f>
              <c:strCache>
                <c:ptCount val="1"/>
                <c:pt idx="0">
                  <c:v>Mg. új beruházási hitelei (milliárd Ft)</c:v>
                </c:pt>
              </c:strCache>
            </c:strRef>
          </c:tx>
          <c:invertIfNegative val="0"/>
          <c:dLbls>
            <c:dLbl>
              <c:idx val="0"/>
              <c:layout>
                <c:manualLayout>
                  <c:x val="0"/>
                  <c:y val="-1.3958445053102881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vert="horz"/>
                <a:lstStyle/>
                <a:p>
                  <a:pPr>
                    <a:defRPr sz="700" b="1">
                      <a:solidFill>
                        <a:schemeClr val="bg1"/>
                      </a:solidFill>
                    </a:defRPr>
                  </a:pPr>
                  <a:endParaRPr lang="hu-HU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0"/>
                  <c:y val="2.4117513328058659E-3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vert="horz"/>
                <a:lstStyle/>
                <a:p>
                  <a:pPr>
                    <a:defRPr sz="700" b="1">
                      <a:solidFill>
                        <a:schemeClr val="bg1"/>
                      </a:solidFill>
                    </a:defRPr>
                  </a:pPr>
                  <a:endParaRPr lang="hu-HU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>
                  <a:defRPr sz="700" b="1"/>
                </a:pPr>
                <a:endParaRPr lang="hu-HU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'13. ábra'!$B$5:$J$5</c:f>
              <c:strCache>
                <c:ptCount val="9"/>
                <c:pt idx="0">
                  <c:v>2023. I.</c:v>
                </c:pt>
                <c:pt idx="1">
                  <c:v>2023. II.</c:v>
                </c:pt>
                <c:pt idx="2">
                  <c:v>2023. III.</c:v>
                </c:pt>
                <c:pt idx="3">
                  <c:v>2023. IV.</c:v>
                </c:pt>
                <c:pt idx="4">
                  <c:v>2024. I</c:v>
                </c:pt>
                <c:pt idx="5">
                  <c:v>2024. II.</c:v>
                </c:pt>
                <c:pt idx="6">
                  <c:v>2024. III.</c:v>
                </c:pt>
                <c:pt idx="7">
                  <c:v>2024. IV.</c:v>
                </c:pt>
                <c:pt idx="8">
                  <c:v>2025. I.</c:v>
                </c:pt>
              </c:strCache>
            </c:strRef>
          </c:cat>
          <c:val>
            <c:numRef>
              <c:f>'13. ábra'!$B$6:$J$6</c:f>
              <c:numCache>
                <c:formatCode>#\ ##0.0</c:formatCode>
                <c:ptCount val="9"/>
                <c:pt idx="0">
                  <c:v>15.437057311</c:v>
                </c:pt>
                <c:pt idx="1">
                  <c:v>23.297594671999999</c:v>
                </c:pt>
                <c:pt idx="2">
                  <c:v>20.432910532000001</c:v>
                </c:pt>
                <c:pt idx="3">
                  <c:v>34.668685199000002</c:v>
                </c:pt>
                <c:pt idx="4">
                  <c:v>16.246298825</c:v>
                </c:pt>
                <c:pt idx="5">
                  <c:v>15.277175031000001</c:v>
                </c:pt>
                <c:pt idx="6">
                  <c:v>16.206536644</c:v>
                </c:pt>
                <c:pt idx="7">
                  <c:v>28.606675964999997</c:v>
                </c:pt>
                <c:pt idx="8">
                  <c:v>16.321481222999999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0538-4B95-9FC1-6903BF58646B}"/>
            </c:ext>
          </c:extLst>
        </c:ser>
        <c:ser>
          <c:idx val="1"/>
          <c:order val="1"/>
          <c:tx>
            <c:strRef>
              <c:f>'13. ábra'!$A$7</c:f>
              <c:strCache>
                <c:ptCount val="1"/>
                <c:pt idx="0">
                  <c:v>Mg. új hosszú lejáratú forgóeszköz hitelei (milliárd Ft)</c:v>
                </c:pt>
              </c:strCache>
            </c:strRef>
          </c:tx>
          <c:invertIfNegative val="0"/>
          <c:dLbls>
            <c:dLbl>
              <c:idx val="0"/>
              <c:layout>
                <c:manualLayout>
                  <c:x val="-2.7936181863389608E-17"/>
                  <c:y val="-1.8652613831655145E-3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0"/>
                  <c:y val="-1.4164696935345875E-3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>
                  <a:defRPr sz="700" b="1">
                    <a:solidFill>
                      <a:schemeClr val="bg1"/>
                    </a:solidFill>
                  </a:defRPr>
                </a:pPr>
                <a:endParaRPr lang="hu-HU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'13. ábra'!$B$5:$J$5</c:f>
              <c:strCache>
                <c:ptCount val="9"/>
                <c:pt idx="0">
                  <c:v>2023. I.</c:v>
                </c:pt>
                <c:pt idx="1">
                  <c:v>2023. II.</c:v>
                </c:pt>
                <c:pt idx="2">
                  <c:v>2023. III.</c:v>
                </c:pt>
                <c:pt idx="3">
                  <c:v>2023. IV.</c:v>
                </c:pt>
                <c:pt idx="4">
                  <c:v>2024. I</c:v>
                </c:pt>
                <c:pt idx="5">
                  <c:v>2024. II.</c:v>
                </c:pt>
                <c:pt idx="6">
                  <c:v>2024. III.</c:v>
                </c:pt>
                <c:pt idx="7">
                  <c:v>2024. IV.</c:v>
                </c:pt>
                <c:pt idx="8">
                  <c:v>2025. I.</c:v>
                </c:pt>
              </c:strCache>
            </c:strRef>
          </c:cat>
          <c:val>
            <c:numRef>
              <c:f>'13. ábra'!$B$7:$J$7</c:f>
              <c:numCache>
                <c:formatCode>#\ ##0.0</c:formatCode>
                <c:ptCount val="9"/>
                <c:pt idx="0">
                  <c:v>7.434346927</c:v>
                </c:pt>
                <c:pt idx="1">
                  <c:v>38.331749633999998</c:v>
                </c:pt>
                <c:pt idx="2">
                  <c:v>18.941742966000003</c:v>
                </c:pt>
                <c:pt idx="3">
                  <c:v>12.68977632</c:v>
                </c:pt>
                <c:pt idx="4">
                  <c:v>7.6020786190000003</c:v>
                </c:pt>
                <c:pt idx="5">
                  <c:v>13.989408730999999</c:v>
                </c:pt>
                <c:pt idx="6">
                  <c:v>9.776249399000001</c:v>
                </c:pt>
                <c:pt idx="7">
                  <c:v>17.884210342999999</c:v>
                </c:pt>
                <c:pt idx="8">
                  <c:v>12.515886957000003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0538-4B95-9FC1-6903BF58646B}"/>
            </c:ext>
          </c:extLst>
        </c:ser>
        <c:ser>
          <c:idx val="2"/>
          <c:order val="2"/>
          <c:tx>
            <c:strRef>
              <c:f>'13. ábra'!$A$8</c:f>
              <c:strCache>
                <c:ptCount val="1"/>
                <c:pt idx="0">
                  <c:v>Mg. új forint folyószámla-, és egyéb éven belüli hitelei (milliárd Ft)</c:v>
                </c:pt>
              </c:strCache>
            </c:strRef>
          </c:tx>
          <c:invertIfNegative val="0"/>
          <c:dLbls>
            <c:dLbl>
              <c:idx val="0"/>
              <c:layout>
                <c:manualLayout>
                  <c:x val="0"/>
                  <c:y val="1.3447622722196011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3.0476186819505145E-3"/>
                  <c:y val="-1.6698338478258107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0"/>
                  <c:y val="4.565455197904109E-4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0"/>
                  <c:y val="9.2866073054106539E-3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2.2348945490711686E-16"/>
                  <c:y val="3.2603305054597098E-3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2"/>
              <c:layout>
                <c:manualLayout>
                  <c:x val="-1.2026646448609235E-16"/>
                  <c:y val="1.0517295228323936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2-0538-4B95-9FC1-6903BF58646B}"/>
                </c:ex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>
                  <a:defRPr sz="700" b="1">
                    <a:solidFill>
                      <a:schemeClr val="bg1"/>
                    </a:solidFill>
                  </a:defRPr>
                </a:pPr>
                <a:endParaRPr lang="hu-HU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'13. ábra'!$B$5:$J$5</c:f>
              <c:strCache>
                <c:ptCount val="9"/>
                <c:pt idx="0">
                  <c:v>2023. I.</c:v>
                </c:pt>
                <c:pt idx="1">
                  <c:v>2023. II.</c:v>
                </c:pt>
                <c:pt idx="2">
                  <c:v>2023. III.</c:v>
                </c:pt>
                <c:pt idx="3">
                  <c:v>2023. IV.</c:v>
                </c:pt>
                <c:pt idx="4">
                  <c:v>2024. I</c:v>
                </c:pt>
                <c:pt idx="5">
                  <c:v>2024. II.</c:v>
                </c:pt>
                <c:pt idx="6">
                  <c:v>2024. III.</c:v>
                </c:pt>
                <c:pt idx="7">
                  <c:v>2024. IV.</c:v>
                </c:pt>
                <c:pt idx="8">
                  <c:v>2025. I.</c:v>
                </c:pt>
              </c:strCache>
            </c:strRef>
          </c:cat>
          <c:val>
            <c:numRef>
              <c:f>'13. ábra'!$B$8:$J$8</c:f>
              <c:numCache>
                <c:formatCode>#\ ##0.0</c:formatCode>
                <c:ptCount val="9"/>
                <c:pt idx="0">
                  <c:v>23.749780277999999</c:v>
                </c:pt>
                <c:pt idx="1">
                  <c:v>38.685391809999999</c:v>
                </c:pt>
                <c:pt idx="2">
                  <c:v>34.793012415999996</c:v>
                </c:pt>
                <c:pt idx="3">
                  <c:v>27.790078130999998</c:v>
                </c:pt>
                <c:pt idx="4">
                  <c:v>27.010223540999998</c:v>
                </c:pt>
                <c:pt idx="5">
                  <c:v>30.583304453</c:v>
                </c:pt>
                <c:pt idx="6">
                  <c:v>27.876157630000002</c:v>
                </c:pt>
                <c:pt idx="7">
                  <c:v>32.190438802999999</c:v>
                </c:pt>
                <c:pt idx="8">
                  <c:v>21.490998931000004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0538-4B95-9FC1-6903BF58646B}"/>
            </c:ext>
          </c:extLst>
        </c:ser>
        <c:ser>
          <c:idx val="3"/>
          <c:order val="3"/>
          <c:tx>
            <c:strRef>
              <c:f>'13. ábra'!$A$9</c:f>
              <c:strCache>
                <c:ptCount val="1"/>
                <c:pt idx="0">
                  <c:v>Mg. új egyéb hitelei (milliárd Ft)</c:v>
                </c:pt>
              </c:strCache>
            </c:strRef>
          </c:tx>
          <c:invertIfNegative val="0"/>
          <c:dLbls>
            <c:dLbl>
              <c:idx val="0"/>
              <c:layout>
                <c:manualLayout>
                  <c:x val="-1.6400161883802658E-3"/>
                  <c:y val="9.720201487928631E-4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0"/>
                  <c:y val="-4.5715962313904235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vert="horz"/>
                <a:lstStyle/>
                <a:p>
                  <a:pPr>
                    <a:defRPr sz="700" b="1">
                      <a:solidFill>
                        <a:sysClr val="windowText" lastClr="000000"/>
                      </a:solidFill>
                    </a:defRPr>
                  </a:pPr>
                  <a:endParaRPr lang="hu-HU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0"/>
                  <c:y val="-3.8123721974943965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vert="horz"/>
                <a:lstStyle/>
                <a:p>
                  <a:pPr>
                    <a:defRPr sz="700" b="1">
                      <a:solidFill>
                        <a:sysClr val="windowText" lastClr="000000"/>
                      </a:solidFill>
                    </a:defRPr>
                  </a:pPr>
                  <a:endParaRPr lang="hu-HU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0"/>
                  <c:y val="-4.6758697393751589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vert="horz"/>
                <a:lstStyle/>
                <a:p>
                  <a:pPr>
                    <a:defRPr sz="700" b="1">
                      <a:solidFill>
                        <a:sysClr val="windowText" lastClr="000000"/>
                      </a:solidFill>
                    </a:defRPr>
                  </a:pPr>
                  <a:endParaRPr lang="hu-HU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-1.5238093409754806E-3"/>
                  <c:y val="-4.2598224151146273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vert="horz"/>
                <a:lstStyle/>
                <a:p>
                  <a:pPr>
                    <a:defRPr sz="700" b="1">
                      <a:solidFill>
                        <a:sysClr val="windowText" lastClr="000000"/>
                      </a:solidFill>
                    </a:defRPr>
                  </a:pPr>
                  <a:endParaRPr lang="hu-HU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>
                  <a:defRPr sz="700" b="1">
                    <a:solidFill>
                      <a:schemeClr val="bg1"/>
                    </a:solidFill>
                  </a:defRPr>
                </a:pPr>
                <a:endParaRPr lang="hu-HU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'13. ábra'!$B$5:$J$5</c:f>
              <c:strCache>
                <c:ptCount val="9"/>
                <c:pt idx="0">
                  <c:v>2023. I.</c:v>
                </c:pt>
                <c:pt idx="1">
                  <c:v>2023. II.</c:v>
                </c:pt>
                <c:pt idx="2">
                  <c:v>2023. III.</c:v>
                </c:pt>
                <c:pt idx="3">
                  <c:v>2023. IV.</c:v>
                </c:pt>
                <c:pt idx="4">
                  <c:v>2024. I</c:v>
                </c:pt>
                <c:pt idx="5">
                  <c:v>2024. II.</c:v>
                </c:pt>
                <c:pt idx="6">
                  <c:v>2024. III.</c:v>
                </c:pt>
                <c:pt idx="7">
                  <c:v>2024. IV.</c:v>
                </c:pt>
                <c:pt idx="8">
                  <c:v>2025. I.</c:v>
                </c:pt>
              </c:strCache>
            </c:strRef>
          </c:cat>
          <c:val>
            <c:numRef>
              <c:f>'13. ábra'!$B$9:$J$9</c:f>
              <c:numCache>
                <c:formatCode>#\ ##0.0</c:formatCode>
                <c:ptCount val="9"/>
                <c:pt idx="0">
                  <c:v>4.9336640440000004</c:v>
                </c:pt>
                <c:pt idx="1">
                  <c:v>12.431986946999999</c:v>
                </c:pt>
                <c:pt idx="2">
                  <c:v>4.2957151860000007</c:v>
                </c:pt>
                <c:pt idx="3">
                  <c:v>4.1889703110000003</c:v>
                </c:pt>
                <c:pt idx="4">
                  <c:v>5.3778976510000005</c:v>
                </c:pt>
                <c:pt idx="5">
                  <c:v>8.4760896240000001</c:v>
                </c:pt>
                <c:pt idx="6">
                  <c:v>1.999114603</c:v>
                </c:pt>
                <c:pt idx="7">
                  <c:v>6.5608916050000001</c:v>
                </c:pt>
                <c:pt idx="8">
                  <c:v>4.6399906269999995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0538-4B95-9FC1-6903BF58646B}"/>
            </c:ext>
          </c:extLst>
        </c:ser>
        <c:dLbls>
          <c:dLblPos val="inBase"/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100"/>
        <c:axId val="581346752"/>
        <c:axId val="581352632"/>
      </c:barChart>
      <c:catAx>
        <c:axId val="58134675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581352632"/>
        <c:crosses val="autoZero"/>
        <c:auto val="1"/>
        <c:lblAlgn val="ctr"/>
        <c:lblOffset val="100"/>
        <c:noMultiLvlLbl val="0"/>
      </c:catAx>
      <c:valAx>
        <c:axId val="581352632"/>
        <c:scaling>
          <c:orientation val="minMax"/>
        </c:scaling>
        <c:delete val="0"/>
        <c:axPos val="l"/>
        <c:majorGridlines/>
        <c:numFmt formatCode="#\ ##0.0" sourceLinked="1"/>
        <c:majorTickMark val="out"/>
        <c:minorTickMark val="none"/>
        <c:tickLblPos val="nextTo"/>
        <c:crossAx val="581346752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1.5013549557996718E-2"/>
          <c:y val="0.84451679292049497"/>
          <c:w val="0.97358138081183698"/>
          <c:h val="0.13177950706258273"/>
        </c:manualLayout>
      </c:layout>
      <c:overlay val="0"/>
    </c:legend>
    <c:plotVisOnly val="1"/>
    <c:dispBlanksAs val="gap"/>
    <c:showDLblsOverMax val="0"/>
  </c:chart>
  <c:spPr>
    <a:ln>
      <a:noFill/>
    </a:ln>
  </c:spPr>
  <c:txPr>
    <a:bodyPr/>
    <a:lstStyle/>
    <a:p>
      <a:pPr>
        <a:defRPr>
          <a:latin typeface="Times New Roman" panose="02020603050405020304" pitchFamily="18" charset="0"/>
          <a:cs typeface="Times New Roman" panose="02020603050405020304" pitchFamily="18" charset="0"/>
        </a:defRPr>
      </a:pPr>
      <a:endParaRPr lang="hu-HU"/>
    </a:p>
  </c:txPr>
  <c:printSettings>
    <c:headerFooter/>
    <c:pageMargins b="0.75" l="0.7" r="0.7" t="0.75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hu-H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'13. ábra'!$B$33:$C$33</c:f>
              <c:strCache>
                <c:ptCount val="2"/>
                <c:pt idx="0">
                  <c:v>Mg. új beruházási hitelei (milliárd Ft)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'13. ábra'!$D$32:$L$32</c:f>
              <c:strCache>
                <c:ptCount val="9"/>
                <c:pt idx="0">
                  <c:v>2023. I.</c:v>
                </c:pt>
                <c:pt idx="1">
                  <c:v>2023. II.</c:v>
                </c:pt>
                <c:pt idx="2">
                  <c:v>2023. III.</c:v>
                </c:pt>
                <c:pt idx="3">
                  <c:v>2023. IV.</c:v>
                </c:pt>
                <c:pt idx="4">
                  <c:v>2024. I</c:v>
                </c:pt>
                <c:pt idx="5">
                  <c:v>2024. II.</c:v>
                </c:pt>
                <c:pt idx="6">
                  <c:v>2024. III.</c:v>
                </c:pt>
                <c:pt idx="7">
                  <c:v>2024. IV.</c:v>
                </c:pt>
                <c:pt idx="8">
                  <c:v>2025. I.</c:v>
                </c:pt>
              </c:strCache>
            </c:strRef>
          </c:cat>
          <c:val>
            <c:numRef>
              <c:f>'13. ábra'!$D$33:$L$33</c:f>
              <c:numCache>
                <c:formatCode>#,##0</c:formatCode>
                <c:ptCount val="9"/>
                <c:pt idx="0">
                  <c:v>15437.057311</c:v>
                </c:pt>
                <c:pt idx="1">
                  <c:v>23297.594671999999</c:v>
                </c:pt>
                <c:pt idx="2">
                  <c:v>20432.910532000002</c:v>
                </c:pt>
                <c:pt idx="3">
                  <c:v>34668.685199</c:v>
                </c:pt>
                <c:pt idx="4">
                  <c:v>16246.298825000002</c:v>
                </c:pt>
                <c:pt idx="5">
                  <c:v>15277.175030999999</c:v>
                </c:pt>
                <c:pt idx="6">
                  <c:v>16206.536644</c:v>
                </c:pt>
                <c:pt idx="7">
                  <c:v>28606.675965000002</c:v>
                </c:pt>
                <c:pt idx="8">
                  <c:v>16321.481222999999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'13. ábra'!$B$34:$C$34</c:f>
              <c:strCache>
                <c:ptCount val="2"/>
                <c:pt idx="0">
                  <c:v>Mg. új hosszú lejáratú forgóeszköz hitelei (milliárd Ft)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'13. ábra'!$D$32:$L$32</c:f>
              <c:strCache>
                <c:ptCount val="9"/>
                <c:pt idx="0">
                  <c:v>2023. I.</c:v>
                </c:pt>
                <c:pt idx="1">
                  <c:v>2023. II.</c:v>
                </c:pt>
                <c:pt idx="2">
                  <c:v>2023. III.</c:v>
                </c:pt>
                <c:pt idx="3">
                  <c:v>2023. IV.</c:v>
                </c:pt>
                <c:pt idx="4">
                  <c:v>2024. I</c:v>
                </c:pt>
                <c:pt idx="5">
                  <c:v>2024. II.</c:v>
                </c:pt>
                <c:pt idx="6">
                  <c:v>2024. III.</c:v>
                </c:pt>
                <c:pt idx="7">
                  <c:v>2024. IV.</c:v>
                </c:pt>
                <c:pt idx="8">
                  <c:v>2025. I.</c:v>
                </c:pt>
              </c:strCache>
            </c:strRef>
          </c:cat>
          <c:val>
            <c:numRef>
              <c:f>'13. ábra'!$D$34:$L$34</c:f>
              <c:numCache>
                <c:formatCode>#,##0</c:formatCode>
                <c:ptCount val="9"/>
                <c:pt idx="0">
                  <c:v>7434.3469269999996</c:v>
                </c:pt>
                <c:pt idx="1">
                  <c:v>38331.749634</c:v>
                </c:pt>
                <c:pt idx="2">
                  <c:v>18941.742966000002</c:v>
                </c:pt>
                <c:pt idx="3">
                  <c:v>12689.776320000001</c:v>
                </c:pt>
                <c:pt idx="4">
                  <c:v>7602.0786189999999</c:v>
                </c:pt>
                <c:pt idx="5">
                  <c:v>13989.408731</c:v>
                </c:pt>
                <c:pt idx="6">
                  <c:v>9776.2493989999984</c:v>
                </c:pt>
                <c:pt idx="7">
                  <c:v>17884.210342999999</c:v>
                </c:pt>
                <c:pt idx="8">
                  <c:v>12515.886956999999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'13. ábra'!$B$35:$C$35</c:f>
              <c:strCache>
                <c:ptCount val="2"/>
                <c:pt idx="0">
                  <c:v>Mg. új forint folyószámla-, és egyéb éven belüli hitelei (milliárd Ft)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strRef>
              <c:f>'13. ábra'!$D$32:$L$32</c:f>
              <c:strCache>
                <c:ptCount val="9"/>
                <c:pt idx="0">
                  <c:v>2023. I.</c:v>
                </c:pt>
                <c:pt idx="1">
                  <c:v>2023. II.</c:v>
                </c:pt>
                <c:pt idx="2">
                  <c:v>2023. III.</c:v>
                </c:pt>
                <c:pt idx="3">
                  <c:v>2023. IV.</c:v>
                </c:pt>
                <c:pt idx="4">
                  <c:v>2024. I</c:v>
                </c:pt>
                <c:pt idx="5">
                  <c:v>2024. II.</c:v>
                </c:pt>
                <c:pt idx="6">
                  <c:v>2024. III.</c:v>
                </c:pt>
                <c:pt idx="7">
                  <c:v>2024. IV.</c:v>
                </c:pt>
                <c:pt idx="8">
                  <c:v>2025. I.</c:v>
                </c:pt>
              </c:strCache>
            </c:strRef>
          </c:cat>
          <c:val>
            <c:numRef>
              <c:f>'13. ábra'!$D$35:$L$35</c:f>
              <c:numCache>
                <c:formatCode>#,##0</c:formatCode>
                <c:ptCount val="9"/>
                <c:pt idx="0">
                  <c:v>23749.780277999998</c:v>
                </c:pt>
                <c:pt idx="1">
                  <c:v>38685.391810000001</c:v>
                </c:pt>
                <c:pt idx="2">
                  <c:v>34793.012415999998</c:v>
                </c:pt>
                <c:pt idx="3">
                  <c:v>27790.078131000002</c:v>
                </c:pt>
                <c:pt idx="4">
                  <c:v>27010.223540999999</c:v>
                </c:pt>
                <c:pt idx="5">
                  <c:v>30583.304452999997</c:v>
                </c:pt>
                <c:pt idx="6">
                  <c:v>27876.157630000002</c:v>
                </c:pt>
                <c:pt idx="7">
                  <c:v>32190.438802999997</c:v>
                </c:pt>
                <c:pt idx="8">
                  <c:v>21490.998930999998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'13. ábra'!$B$36:$C$36</c:f>
              <c:strCache>
                <c:ptCount val="2"/>
                <c:pt idx="0">
                  <c:v>Mg. új egyéb hitelei (milliárd Ft)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strRef>
              <c:f>'13. ábra'!$D$32:$L$32</c:f>
              <c:strCache>
                <c:ptCount val="9"/>
                <c:pt idx="0">
                  <c:v>2023. I.</c:v>
                </c:pt>
                <c:pt idx="1">
                  <c:v>2023. II.</c:v>
                </c:pt>
                <c:pt idx="2">
                  <c:v>2023. III.</c:v>
                </c:pt>
                <c:pt idx="3">
                  <c:v>2023. IV.</c:v>
                </c:pt>
                <c:pt idx="4">
                  <c:v>2024. I</c:v>
                </c:pt>
                <c:pt idx="5">
                  <c:v>2024. II.</c:v>
                </c:pt>
                <c:pt idx="6">
                  <c:v>2024. III.</c:v>
                </c:pt>
                <c:pt idx="7">
                  <c:v>2024. IV.</c:v>
                </c:pt>
                <c:pt idx="8">
                  <c:v>2025. I.</c:v>
                </c:pt>
              </c:strCache>
            </c:strRef>
          </c:cat>
          <c:val>
            <c:numRef>
              <c:f>'13. ábra'!$D$36:$L$36</c:f>
              <c:numCache>
                <c:formatCode>#,##0</c:formatCode>
                <c:ptCount val="9"/>
                <c:pt idx="0">
                  <c:v>4933.6640439999992</c:v>
                </c:pt>
                <c:pt idx="1">
                  <c:v>12431.986946999999</c:v>
                </c:pt>
                <c:pt idx="2">
                  <c:v>4295.7151860000004</c:v>
                </c:pt>
                <c:pt idx="3">
                  <c:v>4188.9703110000009</c:v>
                </c:pt>
                <c:pt idx="4">
                  <c:v>5377.8976510000002</c:v>
                </c:pt>
                <c:pt idx="5">
                  <c:v>8476.0896239999984</c:v>
                </c:pt>
                <c:pt idx="6">
                  <c:v>1999.114603</c:v>
                </c:pt>
                <c:pt idx="7">
                  <c:v>6560.8916050000007</c:v>
                </c:pt>
                <c:pt idx="8">
                  <c:v>4639.9906270000001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81343224"/>
        <c:axId val="581343616"/>
        <c:extLst/>
      </c:lineChart>
      <c:catAx>
        <c:axId val="58134322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hu-HU"/>
          </a:p>
        </c:txPr>
        <c:crossAx val="581343616"/>
        <c:crosses val="autoZero"/>
        <c:auto val="1"/>
        <c:lblAlgn val="ctr"/>
        <c:lblOffset val="100"/>
        <c:noMultiLvlLbl val="0"/>
      </c:catAx>
      <c:valAx>
        <c:axId val="5813436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hu-HU"/>
          </a:p>
        </c:txPr>
        <c:crossAx val="58134322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hu-HU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hu-HU"/>
    </a:p>
  </c:txPr>
  <c:printSettings>
    <c:headerFooter/>
    <c:pageMargins b="0.75" l="0.7" r="0.7" t="0.75" header="0.3" footer="0.3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hu-H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4.995698966228506E-2"/>
          <c:y val="4.3603408810484953E-2"/>
          <c:w val="0.9323082282279842"/>
          <c:h val="0.62203276827003295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'14. ábra'!$A$4</c:f>
              <c:strCache>
                <c:ptCount val="1"/>
                <c:pt idx="0">
                  <c:v>Élip új beruházási hitelei (milliárd Ft)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>
                  <a:defRPr sz="700" b="1"/>
                </a:pPr>
                <a:endParaRPr lang="hu-HU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'14. ábra'!$B$3:$J$3</c:f>
              <c:strCache>
                <c:ptCount val="9"/>
                <c:pt idx="0">
                  <c:v>2023. I.</c:v>
                </c:pt>
                <c:pt idx="1">
                  <c:v>2023. II.</c:v>
                </c:pt>
                <c:pt idx="2">
                  <c:v>2023. III. </c:v>
                </c:pt>
                <c:pt idx="3">
                  <c:v>2023. IV.</c:v>
                </c:pt>
                <c:pt idx="4">
                  <c:v>2024. I</c:v>
                </c:pt>
                <c:pt idx="5">
                  <c:v>2024. II.</c:v>
                </c:pt>
                <c:pt idx="6">
                  <c:v>2024. III.</c:v>
                </c:pt>
                <c:pt idx="7">
                  <c:v>2024. IV.</c:v>
                </c:pt>
                <c:pt idx="8">
                  <c:v>2025. I.</c:v>
                </c:pt>
              </c:strCache>
            </c:strRef>
          </c:cat>
          <c:val>
            <c:numRef>
              <c:f>'14. ábra'!$B$4:$J$4</c:f>
              <c:numCache>
                <c:formatCode>#\ ##0.0</c:formatCode>
                <c:ptCount val="9"/>
                <c:pt idx="0">
                  <c:v>9.8425686789999993</c:v>
                </c:pt>
                <c:pt idx="1">
                  <c:v>27.153159241000001</c:v>
                </c:pt>
                <c:pt idx="2">
                  <c:v>14.115240418999999</c:v>
                </c:pt>
                <c:pt idx="3">
                  <c:v>13.420174457</c:v>
                </c:pt>
                <c:pt idx="4">
                  <c:v>19.810376046000002</c:v>
                </c:pt>
                <c:pt idx="5">
                  <c:v>5.7166316520000002</c:v>
                </c:pt>
                <c:pt idx="6">
                  <c:v>14.847378151000001</c:v>
                </c:pt>
                <c:pt idx="7">
                  <c:v>14.357921685999999</c:v>
                </c:pt>
                <c:pt idx="8" formatCode="0.0">
                  <c:v>10.937059279000001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DFE3-4B54-B2B3-167DD1AA022E}"/>
            </c:ext>
          </c:extLst>
        </c:ser>
        <c:ser>
          <c:idx val="1"/>
          <c:order val="1"/>
          <c:tx>
            <c:strRef>
              <c:f>'14. ábra'!$A$5</c:f>
              <c:strCache>
                <c:ptCount val="1"/>
                <c:pt idx="0">
                  <c:v>Élip új hosszú lejáratú forgóeszköz hitelei (milliárd Ft)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>
                  <a:defRPr sz="700" b="1"/>
                </a:pPr>
                <a:endParaRPr lang="hu-HU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'14. ábra'!$B$3:$J$3</c:f>
              <c:strCache>
                <c:ptCount val="9"/>
                <c:pt idx="0">
                  <c:v>2023. I.</c:v>
                </c:pt>
                <c:pt idx="1">
                  <c:v>2023. II.</c:v>
                </c:pt>
                <c:pt idx="2">
                  <c:v>2023. III. </c:v>
                </c:pt>
                <c:pt idx="3">
                  <c:v>2023. IV.</c:v>
                </c:pt>
                <c:pt idx="4">
                  <c:v>2024. I</c:v>
                </c:pt>
                <c:pt idx="5">
                  <c:v>2024. II.</c:v>
                </c:pt>
                <c:pt idx="6">
                  <c:v>2024. III.</c:v>
                </c:pt>
                <c:pt idx="7">
                  <c:v>2024. IV.</c:v>
                </c:pt>
                <c:pt idx="8">
                  <c:v>2025. I.</c:v>
                </c:pt>
              </c:strCache>
            </c:strRef>
          </c:cat>
          <c:val>
            <c:numRef>
              <c:f>'14. ábra'!$B$5:$J$5</c:f>
              <c:numCache>
                <c:formatCode>#\ ##0.0</c:formatCode>
                <c:ptCount val="9"/>
                <c:pt idx="0">
                  <c:v>11.745728394</c:v>
                </c:pt>
                <c:pt idx="1">
                  <c:v>59.386500511000001</c:v>
                </c:pt>
                <c:pt idx="2">
                  <c:v>20.869988265</c:v>
                </c:pt>
                <c:pt idx="3">
                  <c:v>12.937471728</c:v>
                </c:pt>
                <c:pt idx="4">
                  <c:v>12.593507099</c:v>
                </c:pt>
                <c:pt idx="5">
                  <c:v>12.41769298</c:v>
                </c:pt>
                <c:pt idx="6">
                  <c:v>9.729844902</c:v>
                </c:pt>
                <c:pt idx="7">
                  <c:v>2.1119375810000003</c:v>
                </c:pt>
                <c:pt idx="8" formatCode="0.0">
                  <c:v>3.5918430140000002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DFE3-4B54-B2B3-167DD1AA022E}"/>
            </c:ext>
          </c:extLst>
        </c:ser>
        <c:ser>
          <c:idx val="2"/>
          <c:order val="2"/>
          <c:tx>
            <c:strRef>
              <c:f>'14. ábra'!$A$6</c:f>
              <c:strCache>
                <c:ptCount val="1"/>
                <c:pt idx="0">
                  <c:v>Élip új forint folyószámla-, és egyéb éven belüli hitelei (milliárd Ft)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>
                  <a:defRPr sz="700" b="1"/>
                </a:pPr>
                <a:endParaRPr lang="hu-HU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'14. ábra'!$B$3:$J$3</c:f>
              <c:strCache>
                <c:ptCount val="9"/>
                <c:pt idx="0">
                  <c:v>2023. I.</c:v>
                </c:pt>
                <c:pt idx="1">
                  <c:v>2023. II.</c:v>
                </c:pt>
                <c:pt idx="2">
                  <c:v>2023. III. </c:v>
                </c:pt>
                <c:pt idx="3">
                  <c:v>2023. IV.</c:v>
                </c:pt>
                <c:pt idx="4">
                  <c:v>2024. I</c:v>
                </c:pt>
                <c:pt idx="5">
                  <c:v>2024. II.</c:v>
                </c:pt>
                <c:pt idx="6">
                  <c:v>2024. III.</c:v>
                </c:pt>
                <c:pt idx="7">
                  <c:v>2024. IV.</c:v>
                </c:pt>
                <c:pt idx="8">
                  <c:v>2025. I.</c:v>
                </c:pt>
              </c:strCache>
            </c:strRef>
          </c:cat>
          <c:val>
            <c:numRef>
              <c:f>'14. ábra'!$B$6:$J$6</c:f>
              <c:numCache>
                <c:formatCode>#\ ##0.0</c:formatCode>
                <c:ptCount val="9"/>
                <c:pt idx="0">
                  <c:v>32.861185714000001</c:v>
                </c:pt>
                <c:pt idx="1">
                  <c:v>37.753004472000001</c:v>
                </c:pt>
                <c:pt idx="2">
                  <c:v>63.236351331999998</c:v>
                </c:pt>
                <c:pt idx="3">
                  <c:v>46.856010649000005</c:v>
                </c:pt>
                <c:pt idx="4">
                  <c:v>34.294267074000004</c:v>
                </c:pt>
                <c:pt idx="5">
                  <c:v>21.748366979</c:v>
                </c:pt>
                <c:pt idx="6">
                  <c:v>64.001425123000004</c:v>
                </c:pt>
                <c:pt idx="7">
                  <c:v>52.972601299000004</c:v>
                </c:pt>
                <c:pt idx="8" formatCode="0.0">
                  <c:v>48.320961951999998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DFE3-4B54-B2B3-167DD1AA022E}"/>
            </c:ext>
          </c:extLst>
        </c:ser>
        <c:ser>
          <c:idx val="3"/>
          <c:order val="3"/>
          <c:tx>
            <c:strRef>
              <c:f>'14. ábra'!$A$7</c:f>
              <c:strCache>
                <c:ptCount val="1"/>
                <c:pt idx="0">
                  <c:v>Élip új egyéb hitelei (milliárd Ft)</c:v>
                </c:pt>
              </c:strCache>
            </c:strRef>
          </c:tx>
          <c:invertIfNegative val="0"/>
          <c:dLbls>
            <c:dLbl>
              <c:idx val="0"/>
              <c:layout>
                <c:manualLayout>
                  <c:x val="0"/>
                  <c:y val="-3.5661212861873175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vert="horz"/>
                <a:lstStyle/>
                <a:p>
                  <a:pPr>
                    <a:defRPr sz="700" b="1">
                      <a:solidFill>
                        <a:sysClr val="windowText" lastClr="000000"/>
                      </a:solidFill>
                    </a:defRPr>
                  </a:pPr>
                  <a:endParaRPr lang="hu-HU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0"/>
                  <c:y val="-2.3774141907915446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vert="horz"/>
                <a:lstStyle/>
                <a:p>
                  <a:pPr>
                    <a:defRPr sz="700" b="1">
                      <a:solidFill>
                        <a:sysClr val="windowText" lastClr="000000"/>
                      </a:solidFill>
                    </a:defRPr>
                  </a:pPr>
                  <a:endParaRPr lang="hu-HU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>
                  <a:defRPr sz="700" b="1">
                    <a:solidFill>
                      <a:schemeClr val="bg1"/>
                    </a:solidFill>
                  </a:defRPr>
                </a:pPr>
                <a:endParaRPr lang="hu-HU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'14. ábra'!$B$3:$J$3</c:f>
              <c:strCache>
                <c:ptCount val="9"/>
                <c:pt idx="0">
                  <c:v>2023. I.</c:v>
                </c:pt>
                <c:pt idx="1">
                  <c:v>2023. II.</c:v>
                </c:pt>
                <c:pt idx="2">
                  <c:v>2023. III. </c:v>
                </c:pt>
                <c:pt idx="3">
                  <c:v>2023. IV.</c:v>
                </c:pt>
                <c:pt idx="4">
                  <c:v>2024. I</c:v>
                </c:pt>
                <c:pt idx="5">
                  <c:v>2024. II.</c:v>
                </c:pt>
                <c:pt idx="6">
                  <c:v>2024. III.</c:v>
                </c:pt>
                <c:pt idx="7">
                  <c:v>2024. IV.</c:v>
                </c:pt>
                <c:pt idx="8">
                  <c:v>2025. I.</c:v>
                </c:pt>
              </c:strCache>
            </c:strRef>
          </c:cat>
          <c:val>
            <c:numRef>
              <c:f>'14. ábra'!$B$7:$J$7</c:f>
              <c:numCache>
                <c:formatCode>#\ ##0.0</c:formatCode>
                <c:ptCount val="9"/>
                <c:pt idx="0">
                  <c:v>0.96999516900000005</c:v>
                </c:pt>
                <c:pt idx="1">
                  <c:v>12.032030019</c:v>
                </c:pt>
                <c:pt idx="2">
                  <c:v>8.8375875529999988</c:v>
                </c:pt>
                <c:pt idx="3">
                  <c:v>15.183056731000001</c:v>
                </c:pt>
                <c:pt idx="4">
                  <c:v>0.12313077900000001</c:v>
                </c:pt>
                <c:pt idx="5">
                  <c:v>0.411440321</c:v>
                </c:pt>
                <c:pt idx="6">
                  <c:v>2.281745758</c:v>
                </c:pt>
                <c:pt idx="7">
                  <c:v>3.4204229099999996</c:v>
                </c:pt>
                <c:pt idx="8" formatCode="0.0">
                  <c:v>1.506660197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DFE3-4B54-B2B3-167DD1AA022E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100"/>
        <c:axId val="581353416"/>
        <c:axId val="581344008"/>
      </c:barChart>
      <c:catAx>
        <c:axId val="58135341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581344008"/>
        <c:crosses val="autoZero"/>
        <c:auto val="1"/>
        <c:lblAlgn val="ctr"/>
        <c:lblOffset val="100"/>
        <c:noMultiLvlLbl val="0"/>
      </c:catAx>
      <c:valAx>
        <c:axId val="581344008"/>
        <c:scaling>
          <c:orientation val="minMax"/>
        </c:scaling>
        <c:delete val="0"/>
        <c:axPos val="l"/>
        <c:majorGridlines/>
        <c:numFmt formatCode="#\ ##0.0" sourceLinked="1"/>
        <c:majorTickMark val="out"/>
        <c:minorTickMark val="none"/>
        <c:tickLblPos val="nextTo"/>
        <c:crossAx val="581353416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0"/>
          <c:y val="0.85142222096036924"/>
          <c:w val="0.99374117839230491"/>
          <c:h val="0.12501383847423631"/>
        </c:manualLayout>
      </c:layout>
      <c:overlay val="0"/>
    </c:legend>
    <c:plotVisOnly val="1"/>
    <c:dispBlanksAs val="gap"/>
    <c:showDLblsOverMax val="0"/>
  </c:chart>
  <c:spPr>
    <a:ln>
      <a:noFill/>
    </a:ln>
  </c:spPr>
  <c:txPr>
    <a:bodyPr/>
    <a:lstStyle/>
    <a:p>
      <a:pPr>
        <a:defRPr>
          <a:latin typeface="Times New Roman" panose="02020603050405020304" pitchFamily="18" charset="0"/>
          <a:cs typeface="Times New Roman" panose="02020603050405020304" pitchFamily="18" charset="0"/>
        </a:defRPr>
      </a:pPr>
      <a:endParaRPr lang="hu-HU"/>
    </a:p>
  </c:txPr>
  <c:printSettings>
    <c:headerFooter/>
    <c:pageMargins b="0.75" l="0.7" r="0.7" t="0.75" header="0.3" footer="0.3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hu-H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 mezőgazdaság és az élelmiszeripar aránya az újonnan folyósított hitelekben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hu-HU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'14. ábra'!$A$41</c:f>
              <c:strCache>
                <c:ptCount val="1"/>
                <c:pt idx="0">
                  <c:v>ÉLIP %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'14. ábra'!$B$40:$J$40</c:f>
              <c:strCache>
                <c:ptCount val="9"/>
                <c:pt idx="0">
                  <c:v>2023. I.</c:v>
                </c:pt>
                <c:pt idx="1">
                  <c:v>2023. II.</c:v>
                </c:pt>
                <c:pt idx="2">
                  <c:v>2023. III. </c:v>
                </c:pt>
                <c:pt idx="3">
                  <c:v>2023. IV.</c:v>
                </c:pt>
                <c:pt idx="4">
                  <c:v>2024. I</c:v>
                </c:pt>
                <c:pt idx="5">
                  <c:v>2024. II.</c:v>
                </c:pt>
                <c:pt idx="6">
                  <c:v>2024. III.</c:v>
                </c:pt>
                <c:pt idx="7">
                  <c:v>2024. IV.</c:v>
                </c:pt>
                <c:pt idx="8">
                  <c:v>2025. I.</c:v>
                </c:pt>
              </c:strCache>
            </c:strRef>
          </c:cat>
          <c:val>
            <c:numRef>
              <c:f>'14. ábra'!$B$41:$J$41</c:f>
              <c:numCache>
                <c:formatCode>0.0</c:formatCode>
                <c:ptCount val="9"/>
                <c:pt idx="0">
                  <c:v>51.806334997314508</c:v>
                </c:pt>
                <c:pt idx="1">
                  <c:v>54.733174812875653</c:v>
                </c:pt>
                <c:pt idx="2">
                  <c:v>57.706822344279885</c:v>
                </c:pt>
                <c:pt idx="3">
                  <c:v>52.700463689986258</c:v>
                </c:pt>
                <c:pt idx="4">
                  <c:v>54.300736773197677</c:v>
                </c:pt>
                <c:pt idx="5">
                  <c:v>37.096382996620719</c:v>
                </c:pt>
                <c:pt idx="6">
                  <c:v>61.928402709667594</c:v>
                </c:pt>
                <c:pt idx="7">
                  <c:v>46.085093641834838</c:v>
                </c:pt>
                <c:pt idx="8">
                  <c:v>53.933867996549992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'14. ábra'!$A$42</c:f>
              <c:strCache>
                <c:ptCount val="1"/>
                <c:pt idx="0">
                  <c:v>Mg %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'14. ábra'!$B$40:$J$40</c:f>
              <c:strCache>
                <c:ptCount val="9"/>
                <c:pt idx="0">
                  <c:v>2023. I.</c:v>
                </c:pt>
                <c:pt idx="1">
                  <c:v>2023. II.</c:v>
                </c:pt>
                <c:pt idx="2">
                  <c:v>2023. III. </c:v>
                </c:pt>
                <c:pt idx="3">
                  <c:v>2023. IV.</c:v>
                </c:pt>
                <c:pt idx="4">
                  <c:v>2024. I</c:v>
                </c:pt>
                <c:pt idx="5">
                  <c:v>2024. II.</c:v>
                </c:pt>
                <c:pt idx="6">
                  <c:v>2024. III.</c:v>
                </c:pt>
                <c:pt idx="7">
                  <c:v>2024. IV.</c:v>
                </c:pt>
                <c:pt idx="8">
                  <c:v>2025. I.</c:v>
                </c:pt>
              </c:strCache>
            </c:strRef>
          </c:cat>
          <c:val>
            <c:numRef>
              <c:f>'14. ábra'!$B$42:$J$42</c:f>
              <c:numCache>
                <c:formatCode>0.0</c:formatCode>
                <c:ptCount val="9"/>
                <c:pt idx="0">
                  <c:v>48.193665002685485</c:v>
                </c:pt>
                <c:pt idx="1">
                  <c:v>45.26682518712434</c:v>
                </c:pt>
                <c:pt idx="2">
                  <c:v>42.293177655720122</c:v>
                </c:pt>
                <c:pt idx="3">
                  <c:v>47.29953631001375</c:v>
                </c:pt>
                <c:pt idx="4">
                  <c:v>45.699263226802316</c:v>
                </c:pt>
                <c:pt idx="5">
                  <c:v>62.903617003379289</c:v>
                </c:pt>
                <c:pt idx="6">
                  <c:v>38.071597290332413</c:v>
                </c:pt>
                <c:pt idx="7">
                  <c:v>53.914906358165162</c:v>
                </c:pt>
                <c:pt idx="8">
                  <c:v>46.066132003450015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81344792"/>
        <c:axId val="581345576"/>
      </c:lineChart>
      <c:catAx>
        <c:axId val="58134479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hu-HU"/>
          </a:p>
        </c:txPr>
        <c:crossAx val="581345576"/>
        <c:crosses val="autoZero"/>
        <c:auto val="1"/>
        <c:lblAlgn val="ctr"/>
        <c:lblOffset val="100"/>
        <c:noMultiLvlLbl val="0"/>
      </c:catAx>
      <c:valAx>
        <c:axId val="58134557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hu-HU"/>
          </a:p>
        </c:txPr>
        <c:crossAx val="58134479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hu-HU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hu-HU"/>
    </a:p>
  </c:txPr>
  <c:printSettings>
    <c:headerFooter/>
    <c:pageMargins b="0.75" l="0.7" r="0.7" t="0.75" header="0.3" footer="0.3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hu-H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hu-HU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'14. ábra'!$A$23</c:f>
              <c:strCache>
                <c:ptCount val="1"/>
                <c:pt idx="0">
                  <c:v>Élip új beruházási hitelei (milliárd Ft)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'14. ábra'!$B$22:$J$22</c:f>
              <c:strCache>
                <c:ptCount val="9"/>
                <c:pt idx="0">
                  <c:v>2023. I.</c:v>
                </c:pt>
                <c:pt idx="1">
                  <c:v>2023. II.</c:v>
                </c:pt>
                <c:pt idx="2">
                  <c:v>2023. III. </c:v>
                </c:pt>
                <c:pt idx="3">
                  <c:v>2023. IV.</c:v>
                </c:pt>
                <c:pt idx="4">
                  <c:v>2024. I</c:v>
                </c:pt>
                <c:pt idx="5">
                  <c:v>2024. II.</c:v>
                </c:pt>
                <c:pt idx="6">
                  <c:v>2024. III.</c:v>
                </c:pt>
                <c:pt idx="7">
                  <c:v>2024. IV.</c:v>
                </c:pt>
                <c:pt idx="8">
                  <c:v>2025. I.</c:v>
                </c:pt>
              </c:strCache>
            </c:strRef>
          </c:cat>
          <c:val>
            <c:numRef>
              <c:f>'14. ábra'!$B$23:$J$23</c:f>
              <c:numCache>
                <c:formatCode>#,##0</c:formatCode>
                <c:ptCount val="9"/>
                <c:pt idx="0">
                  <c:v>9842.568679</c:v>
                </c:pt>
                <c:pt idx="1">
                  <c:v>27153.159241000001</c:v>
                </c:pt>
                <c:pt idx="2">
                  <c:v>14115.240419</c:v>
                </c:pt>
                <c:pt idx="3">
                  <c:v>13420.174457000001</c:v>
                </c:pt>
                <c:pt idx="4">
                  <c:v>19810.376046000001</c:v>
                </c:pt>
                <c:pt idx="5">
                  <c:v>5716.6316519999991</c:v>
                </c:pt>
                <c:pt idx="6">
                  <c:v>14847.378151000001</c:v>
                </c:pt>
                <c:pt idx="7">
                  <c:v>14357.921686</c:v>
                </c:pt>
                <c:pt idx="8">
                  <c:v>10937.059278999999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'14. ábra'!$A$24</c:f>
              <c:strCache>
                <c:ptCount val="1"/>
                <c:pt idx="0">
                  <c:v>Élip új hosszú lejáratú forgóeszköz hitelei (milliárd Ft)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'14. ábra'!$B$22:$J$22</c:f>
              <c:strCache>
                <c:ptCount val="9"/>
                <c:pt idx="0">
                  <c:v>2023. I.</c:v>
                </c:pt>
                <c:pt idx="1">
                  <c:v>2023. II.</c:v>
                </c:pt>
                <c:pt idx="2">
                  <c:v>2023. III. </c:v>
                </c:pt>
                <c:pt idx="3">
                  <c:v>2023. IV.</c:v>
                </c:pt>
                <c:pt idx="4">
                  <c:v>2024. I</c:v>
                </c:pt>
                <c:pt idx="5">
                  <c:v>2024. II.</c:v>
                </c:pt>
                <c:pt idx="6">
                  <c:v>2024. III.</c:v>
                </c:pt>
                <c:pt idx="7">
                  <c:v>2024. IV.</c:v>
                </c:pt>
                <c:pt idx="8">
                  <c:v>2025. I.</c:v>
                </c:pt>
              </c:strCache>
            </c:strRef>
          </c:cat>
          <c:val>
            <c:numRef>
              <c:f>'14. ábra'!$B$24:$J$24</c:f>
              <c:numCache>
                <c:formatCode>#,##0</c:formatCode>
                <c:ptCount val="9"/>
                <c:pt idx="0">
                  <c:v>11745.728394</c:v>
                </c:pt>
                <c:pt idx="1">
                  <c:v>59386.500510999991</c:v>
                </c:pt>
                <c:pt idx="2">
                  <c:v>20869.988265</c:v>
                </c:pt>
                <c:pt idx="3">
                  <c:v>12937.471728</c:v>
                </c:pt>
                <c:pt idx="4">
                  <c:v>12593.507099</c:v>
                </c:pt>
                <c:pt idx="5">
                  <c:v>12417.69298</c:v>
                </c:pt>
                <c:pt idx="6">
                  <c:v>9729.8449020000007</c:v>
                </c:pt>
                <c:pt idx="7">
                  <c:v>2111.9375809999997</c:v>
                </c:pt>
                <c:pt idx="8">
                  <c:v>3591.843014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'14. ábra'!$A$25</c:f>
              <c:strCache>
                <c:ptCount val="1"/>
                <c:pt idx="0">
                  <c:v>Élip új forint folyószámla-, és egyéb éven belüli hitelei (milliárd Ft)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strRef>
              <c:f>'14. ábra'!$B$22:$J$22</c:f>
              <c:strCache>
                <c:ptCount val="9"/>
                <c:pt idx="0">
                  <c:v>2023. I.</c:v>
                </c:pt>
                <c:pt idx="1">
                  <c:v>2023. II.</c:v>
                </c:pt>
                <c:pt idx="2">
                  <c:v>2023. III. </c:v>
                </c:pt>
                <c:pt idx="3">
                  <c:v>2023. IV.</c:v>
                </c:pt>
                <c:pt idx="4">
                  <c:v>2024. I</c:v>
                </c:pt>
                <c:pt idx="5">
                  <c:v>2024. II.</c:v>
                </c:pt>
                <c:pt idx="6">
                  <c:v>2024. III.</c:v>
                </c:pt>
                <c:pt idx="7">
                  <c:v>2024. IV.</c:v>
                </c:pt>
                <c:pt idx="8">
                  <c:v>2025. I.</c:v>
                </c:pt>
              </c:strCache>
            </c:strRef>
          </c:cat>
          <c:val>
            <c:numRef>
              <c:f>'14. ábra'!$B$25:$J$25</c:f>
              <c:numCache>
                <c:formatCode>#,##0</c:formatCode>
                <c:ptCount val="9"/>
                <c:pt idx="0">
                  <c:v>32861.185713999999</c:v>
                </c:pt>
                <c:pt idx="1">
                  <c:v>37753.004472000001</c:v>
                </c:pt>
                <c:pt idx="2">
                  <c:v>63236.351332000006</c:v>
                </c:pt>
                <c:pt idx="3">
                  <c:v>46856.010649000003</c:v>
                </c:pt>
                <c:pt idx="4">
                  <c:v>34294.267074000003</c:v>
                </c:pt>
                <c:pt idx="5">
                  <c:v>21748.366978999999</c:v>
                </c:pt>
                <c:pt idx="6">
                  <c:v>64001.425122999994</c:v>
                </c:pt>
                <c:pt idx="7">
                  <c:v>52972.601298999994</c:v>
                </c:pt>
                <c:pt idx="8">
                  <c:v>48320.961951999998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'14. ábra'!$A$26</c:f>
              <c:strCache>
                <c:ptCount val="1"/>
                <c:pt idx="0">
                  <c:v>Élip új egyéb hitelei (milliárd Ft)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strRef>
              <c:f>'14. ábra'!$B$22:$J$22</c:f>
              <c:strCache>
                <c:ptCount val="9"/>
                <c:pt idx="0">
                  <c:v>2023. I.</c:v>
                </c:pt>
                <c:pt idx="1">
                  <c:v>2023. II.</c:v>
                </c:pt>
                <c:pt idx="2">
                  <c:v>2023. III. </c:v>
                </c:pt>
                <c:pt idx="3">
                  <c:v>2023. IV.</c:v>
                </c:pt>
                <c:pt idx="4">
                  <c:v>2024. I</c:v>
                </c:pt>
                <c:pt idx="5">
                  <c:v>2024. II.</c:v>
                </c:pt>
                <c:pt idx="6">
                  <c:v>2024. III.</c:v>
                </c:pt>
                <c:pt idx="7">
                  <c:v>2024. IV.</c:v>
                </c:pt>
                <c:pt idx="8">
                  <c:v>2025. I.</c:v>
                </c:pt>
              </c:strCache>
            </c:strRef>
          </c:cat>
          <c:val>
            <c:numRef>
              <c:f>'14. ábra'!$B$26:$J$26</c:f>
              <c:numCache>
                <c:formatCode>#,##0</c:formatCode>
                <c:ptCount val="9"/>
                <c:pt idx="0">
                  <c:v>969.99516900000003</c:v>
                </c:pt>
                <c:pt idx="1">
                  <c:v>12032.030018999998</c:v>
                </c:pt>
                <c:pt idx="2">
                  <c:v>8837.5875530000012</c:v>
                </c:pt>
                <c:pt idx="3">
                  <c:v>15183.056731000001</c:v>
                </c:pt>
                <c:pt idx="4">
                  <c:v>123.130779</c:v>
                </c:pt>
                <c:pt idx="5">
                  <c:v>411.44032100000004</c:v>
                </c:pt>
                <c:pt idx="6">
                  <c:v>2281.745758</c:v>
                </c:pt>
                <c:pt idx="7">
                  <c:v>3420.4229100000002</c:v>
                </c:pt>
                <c:pt idx="8">
                  <c:v>1506.6601969999999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81347928"/>
        <c:axId val="581348320"/>
      </c:lineChart>
      <c:catAx>
        <c:axId val="5813479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hu-HU"/>
          </a:p>
        </c:txPr>
        <c:crossAx val="581348320"/>
        <c:crosses val="autoZero"/>
        <c:auto val="1"/>
        <c:lblAlgn val="ctr"/>
        <c:lblOffset val="100"/>
        <c:noMultiLvlLbl val="0"/>
      </c:catAx>
      <c:valAx>
        <c:axId val="58134832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hu-HU"/>
          </a:p>
        </c:txPr>
        <c:crossAx val="58134792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hu-HU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hu-HU"/>
    </a:p>
  </c:txPr>
  <c:printSettings>
    <c:headerFooter/>
    <c:pageMargins b="0.75" l="0.7" r="0.7" t="0.75" header="0.3" footer="0.3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hu-H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'15. ábra'!$G$8</c:f>
              <c:strCache>
                <c:ptCount val="1"/>
                <c:pt idx="0">
                  <c:v>Egyéni (db)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600" b="1" i="0" u="none" strike="noStrike" kern="1200" baseline="0">
                    <a:solidFill>
                      <a:sysClr val="windowText" lastClr="000000"/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endParaRPr lang="hu-HU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'15. ábra'!$H$6:$P$7</c15:sqref>
                  </c15:fullRef>
                  <c15:levelRef>
                    <c15:sqref>'15. ábra'!$H$7:$P$7</c15:sqref>
                  </c15:levelRef>
                </c:ext>
              </c:extLst>
              <c:f>'15. ábra'!$H$7:$P$7</c:f>
              <c:strCache>
                <c:ptCount val="9"/>
                <c:pt idx="0">
                  <c:v>2023. I.</c:v>
                </c:pt>
                <c:pt idx="1">
                  <c:v>2023. II.</c:v>
                </c:pt>
                <c:pt idx="2">
                  <c:v>2023. III.</c:v>
                </c:pt>
                <c:pt idx="3">
                  <c:v>2023. IV.</c:v>
                </c:pt>
                <c:pt idx="4">
                  <c:v>2024. I.</c:v>
                </c:pt>
                <c:pt idx="5">
                  <c:v>2024. II.</c:v>
                </c:pt>
                <c:pt idx="6">
                  <c:v>2024. III.</c:v>
                </c:pt>
                <c:pt idx="7">
                  <c:v>2024. IV.</c:v>
                </c:pt>
                <c:pt idx="8">
                  <c:v>2025. I.</c:v>
                </c:pt>
              </c:strCache>
            </c:strRef>
          </c:cat>
          <c:val>
            <c:numRef>
              <c:f>'15. ábra'!$H$8:$P$8</c:f>
              <c:numCache>
                <c:formatCode>#,##0</c:formatCode>
                <c:ptCount val="9"/>
                <c:pt idx="0">
                  <c:v>16778</c:v>
                </c:pt>
                <c:pt idx="1">
                  <c:v>16660</c:v>
                </c:pt>
                <c:pt idx="2">
                  <c:v>16511</c:v>
                </c:pt>
                <c:pt idx="3">
                  <c:v>17888</c:v>
                </c:pt>
                <c:pt idx="4">
                  <c:v>17549</c:v>
                </c:pt>
                <c:pt idx="5">
                  <c:v>19843</c:v>
                </c:pt>
                <c:pt idx="6">
                  <c:v>20510</c:v>
                </c:pt>
                <c:pt idx="7">
                  <c:v>13560</c:v>
                </c:pt>
                <c:pt idx="8">
                  <c:v>13219</c:v>
                </c:pt>
              </c:numCache>
            </c:numRef>
          </c:val>
        </c:ser>
        <c:ser>
          <c:idx val="1"/>
          <c:order val="1"/>
          <c:tx>
            <c:strRef>
              <c:f>'15. ábra'!$G$9</c:f>
              <c:strCache>
                <c:ptCount val="1"/>
                <c:pt idx="0">
                  <c:v>Társas (db)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600" b="1" i="0" u="none" strike="noStrike" kern="1200" baseline="0">
                    <a:solidFill>
                      <a:sysClr val="windowText" lastClr="000000"/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endParaRPr lang="hu-HU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'15. ábra'!$H$6:$P$7</c15:sqref>
                  </c15:fullRef>
                  <c15:levelRef>
                    <c15:sqref>'15. ábra'!$H$7:$P$7</c15:sqref>
                  </c15:levelRef>
                </c:ext>
              </c:extLst>
              <c:f>'15. ábra'!$H$7:$P$7</c:f>
              <c:strCache>
                <c:ptCount val="9"/>
                <c:pt idx="0">
                  <c:v>2023. I.</c:v>
                </c:pt>
                <c:pt idx="1">
                  <c:v>2023. II.</c:v>
                </c:pt>
                <c:pt idx="2">
                  <c:v>2023. III.</c:v>
                </c:pt>
                <c:pt idx="3">
                  <c:v>2023. IV.</c:v>
                </c:pt>
                <c:pt idx="4">
                  <c:v>2024. I.</c:v>
                </c:pt>
                <c:pt idx="5">
                  <c:v>2024. II.</c:v>
                </c:pt>
                <c:pt idx="6">
                  <c:v>2024. III.</c:v>
                </c:pt>
                <c:pt idx="7">
                  <c:v>2024. IV.</c:v>
                </c:pt>
                <c:pt idx="8">
                  <c:v>2025. I.</c:v>
                </c:pt>
              </c:strCache>
            </c:strRef>
          </c:cat>
          <c:val>
            <c:numRef>
              <c:f>'15. ábra'!$H$9:$P$9</c:f>
              <c:numCache>
                <c:formatCode>#,##0</c:formatCode>
                <c:ptCount val="9"/>
                <c:pt idx="0">
                  <c:v>3927</c:v>
                </c:pt>
                <c:pt idx="1">
                  <c:v>3921</c:v>
                </c:pt>
                <c:pt idx="2">
                  <c:v>3882</c:v>
                </c:pt>
                <c:pt idx="3">
                  <c:v>4700</c:v>
                </c:pt>
                <c:pt idx="4">
                  <c:v>4760</c:v>
                </c:pt>
                <c:pt idx="5">
                  <c:v>5376</c:v>
                </c:pt>
                <c:pt idx="6">
                  <c:v>5492</c:v>
                </c:pt>
                <c:pt idx="7">
                  <c:v>3437</c:v>
                </c:pt>
                <c:pt idx="8">
                  <c:v>3410</c:v>
                </c:pt>
              </c:numCache>
            </c:numRef>
          </c:val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581349104"/>
        <c:axId val="581349496"/>
      </c:barChart>
      <c:catAx>
        <c:axId val="58134910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hu-HU"/>
          </a:p>
        </c:txPr>
        <c:crossAx val="581349496"/>
        <c:crosses val="autoZero"/>
        <c:auto val="1"/>
        <c:lblAlgn val="ctr"/>
        <c:lblOffset val="100"/>
        <c:noMultiLvlLbl val="0"/>
      </c:catAx>
      <c:valAx>
        <c:axId val="58134949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hu-HU"/>
          </a:p>
        </c:txPr>
        <c:crossAx val="58134910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Times New Roman" panose="02020603050405020304" pitchFamily="18" charset="0"/>
              <a:ea typeface="+mn-ea"/>
              <a:cs typeface="Times New Roman" panose="02020603050405020304" pitchFamily="18" charset="0"/>
            </a:defRPr>
          </a:pPr>
          <a:endParaRPr lang="hu-HU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ysClr val="windowText" lastClr="000000"/>
          </a:solidFill>
          <a:latin typeface="Times New Roman" panose="02020603050405020304" pitchFamily="18" charset="0"/>
          <a:cs typeface="Times New Roman" panose="02020603050405020304" pitchFamily="18" charset="0"/>
        </a:defRPr>
      </a:pPr>
      <a:endParaRPr lang="hu-HU"/>
    </a:p>
  </c:txPr>
  <c:printSettings>
    <c:headerFooter/>
    <c:pageMargins b="0.75" l="0.7" r="0.7" t="0.75" header="0.3" footer="0.3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hu-H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'16. ábra'!$B$4</c:f>
              <c:strCache>
                <c:ptCount val="1"/>
                <c:pt idx="0">
                  <c:v>Mg Beruházási hitelek (db)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ysClr val="windowText" lastClr="000000"/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endParaRPr lang="hu-HU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multiLvlStrRef>
              <c:f>'16. ábra'!$C$2:$T$3</c:f>
              <c:multiLvlStrCache>
                <c:ptCount val="18"/>
                <c:lvl>
                  <c:pt idx="0">
                    <c:v>Egyéni</c:v>
                  </c:pt>
                  <c:pt idx="1">
                    <c:v>Társas</c:v>
                  </c:pt>
                  <c:pt idx="2">
                    <c:v>Egyéni</c:v>
                  </c:pt>
                  <c:pt idx="3">
                    <c:v>Társas</c:v>
                  </c:pt>
                  <c:pt idx="4">
                    <c:v>Egyéni</c:v>
                  </c:pt>
                  <c:pt idx="5">
                    <c:v>Társas</c:v>
                  </c:pt>
                  <c:pt idx="6">
                    <c:v>Egyéni</c:v>
                  </c:pt>
                  <c:pt idx="7">
                    <c:v>Társas</c:v>
                  </c:pt>
                  <c:pt idx="8">
                    <c:v>Egyéni</c:v>
                  </c:pt>
                  <c:pt idx="9">
                    <c:v>Társas</c:v>
                  </c:pt>
                  <c:pt idx="10">
                    <c:v>Egyéni</c:v>
                  </c:pt>
                  <c:pt idx="11">
                    <c:v>Társas</c:v>
                  </c:pt>
                  <c:pt idx="12">
                    <c:v>Egyéni</c:v>
                  </c:pt>
                  <c:pt idx="13">
                    <c:v>Társas</c:v>
                  </c:pt>
                  <c:pt idx="14">
                    <c:v>Egyéni</c:v>
                  </c:pt>
                  <c:pt idx="15">
                    <c:v>Társas</c:v>
                  </c:pt>
                  <c:pt idx="16">
                    <c:v>Egyéni</c:v>
                  </c:pt>
                  <c:pt idx="17">
                    <c:v>Társas</c:v>
                  </c:pt>
                </c:lvl>
                <c:lvl>
                  <c:pt idx="0">
                    <c:v>2023. I.</c:v>
                  </c:pt>
                  <c:pt idx="2">
                    <c:v>2023. II.</c:v>
                  </c:pt>
                  <c:pt idx="4">
                    <c:v>2023. III.</c:v>
                  </c:pt>
                  <c:pt idx="6">
                    <c:v>2023. IV.</c:v>
                  </c:pt>
                  <c:pt idx="8">
                    <c:v>2024. I.</c:v>
                  </c:pt>
                  <c:pt idx="10">
                    <c:v>2024. II.</c:v>
                  </c:pt>
                  <c:pt idx="12">
                    <c:v>2024. III.</c:v>
                  </c:pt>
                  <c:pt idx="14">
                    <c:v>2024. IV.</c:v>
                  </c:pt>
                  <c:pt idx="16">
                    <c:v>2025. I.</c:v>
                  </c:pt>
                </c:lvl>
              </c:multiLvlStrCache>
            </c:multiLvlStrRef>
          </c:cat>
          <c:val>
            <c:numRef>
              <c:f>'16. ábra'!$C$4:$T$4</c:f>
              <c:numCache>
                <c:formatCode>#,##0</c:formatCode>
                <c:ptCount val="18"/>
                <c:pt idx="0">
                  <c:v>8925</c:v>
                </c:pt>
                <c:pt idx="1">
                  <c:v>2471</c:v>
                </c:pt>
                <c:pt idx="2">
                  <c:v>8888</c:v>
                </c:pt>
                <c:pt idx="3">
                  <c:v>2471</c:v>
                </c:pt>
                <c:pt idx="4">
                  <c:v>8863</c:v>
                </c:pt>
                <c:pt idx="5">
                  <c:v>2466</c:v>
                </c:pt>
                <c:pt idx="6">
                  <c:v>8800</c:v>
                </c:pt>
                <c:pt idx="7">
                  <c:v>2390</c:v>
                </c:pt>
                <c:pt idx="8">
                  <c:v>8630</c:v>
                </c:pt>
                <c:pt idx="9">
                  <c:v>2365</c:v>
                </c:pt>
                <c:pt idx="10">
                  <c:v>8609</c:v>
                </c:pt>
                <c:pt idx="11">
                  <c:v>2347</c:v>
                </c:pt>
                <c:pt idx="12">
                  <c:v>8507</c:v>
                </c:pt>
                <c:pt idx="13">
                  <c:v>2325</c:v>
                </c:pt>
                <c:pt idx="14">
                  <c:v>8234</c:v>
                </c:pt>
                <c:pt idx="15">
                  <c:v>2247</c:v>
                </c:pt>
                <c:pt idx="16">
                  <c:v>7973</c:v>
                </c:pt>
                <c:pt idx="17">
                  <c:v>2228</c:v>
                </c:pt>
              </c:numCache>
            </c:numRef>
          </c:val>
        </c:ser>
        <c:ser>
          <c:idx val="1"/>
          <c:order val="1"/>
          <c:tx>
            <c:strRef>
              <c:f>'16. ábra'!$B$5</c:f>
              <c:strCache>
                <c:ptCount val="1"/>
                <c:pt idx="0">
                  <c:v>Mg Hosszú lejáratú forgóeszköz hitelek (db)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ysClr val="windowText" lastClr="000000"/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endParaRPr lang="hu-HU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multiLvlStrRef>
              <c:f>'16. ábra'!$C$2:$T$3</c:f>
              <c:multiLvlStrCache>
                <c:ptCount val="18"/>
                <c:lvl>
                  <c:pt idx="0">
                    <c:v>Egyéni</c:v>
                  </c:pt>
                  <c:pt idx="1">
                    <c:v>Társas</c:v>
                  </c:pt>
                  <c:pt idx="2">
                    <c:v>Egyéni</c:v>
                  </c:pt>
                  <c:pt idx="3">
                    <c:v>Társas</c:v>
                  </c:pt>
                  <c:pt idx="4">
                    <c:v>Egyéni</c:v>
                  </c:pt>
                  <c:pt idx="5">
                    <c:v>Társas</c:v>
                  </c:pt>
                  <c:pt idx="6">
                    <c:v>Egyéni</c:v>
                  </c:pt>
                  <c:pt idx="7">
                    <c:v>Társas</c:v>
                  </c:pt>
                  <c:pt idx="8">
                    <c:v>Egyéni</c:v>
                  </c:pt>
                  <c:pt idx="9">
                    <c:v>Társas</c:v>
                  </c:pt>
                  <c:pt idx="10">
                    <c:v>Egyéni</c:v>
                  </c:pt>
                  <c:pt idx="11">
                    <c:v>Társas</c:v>
                  </c:pt>
                  <c:pt idx="12">
                    <c:v>Egyéni</c:v>
                  </c:pt>
                  <c:pt idx="13">
                    <c:v>Társas</c:v>
                  </c:pt>
                  <c:pt idx="14">
                    <c:v>Egyéni</c:v>
                  </c:pt>
                  <c:pt idx="15">
                    <c:v>Társas</c:v>
                  </c:pt>
                  <c:pt idx="16">
                    <c:v>Egyéni</c:v>
                  </c:pt>
                  <c:pt idx="17">
                    <c:v>Társas</c:v>
                  </c:pt>
                </c:lvl>
                <c:lvl>
                  <c:pt idx="0">
                    <c:v>2023. I.</c:v>
                  </c:pt>
                  <c:pt idx="2">
                    <c:v>2023. II.</c:v>
                  </c:pt>
                  <c:pt idx="4">
                    <c:v>2023. III.</c:v>
                  </c:pt>
                  <c:pt idx="6">
                    <c:v>2023. IV.</c:v>
                  </c:pt>
                  <c:pt idx="8">
                    <c:v>2024. I.</c:v>
                  </c:pt>
                  <c:pt idx="10">
                    <c:v>2024. II.</c:v>
                  </c:pt>
                  <c:pt idx="12">
                    <c:v>2024. III.</c:v>
                  </c:pt>
                  <c:pt idx="14">
                    <c:v>2024. IV.</c:v>
                  </c:pt>
                  <c:pt idx="16">
                    <c:v>2025. I.</c:v>
                  </c:pt>
                </c:lvl>
              </c:multiLvlStrCache>
            </c:multiLvlStrRef>
          </c:cat>
          <c:val>
            <c:numRef>
              <c:f>'16. ábra'!$C$5:$T$5</c:f>
              <c:numCache>
                <c:formatCode>#,##0</c:formatCode>
                <c:ptCount val="18"/>
                <c:pt idx="0">
                  <c:v>1021</c:v>
                </c:pt>
                <c:pt idx="1">
                  <c:v>885</c:v>
                </c:pt>
                <c:pt idx="2">
                  <c:v>924</c:v>
                </c:pt>
                <c:pt idx="3">
                  <c:v>929</c:v>
                </c:pt>
                <c:pt idx="4">
                  <c:v>944</c:v>
                </c:pt>
                <c:pt idx="5">
                  <c:v>941</c:v>
                </c:pt>
                <c:pt idx="6">
                  <c:v>820</c:v>
                </c:pt>
                <c:pt idx="7">
                  <c:v>947</c:v>
                </c:pt>
                <c:pt idx="8">
                  <c:v>735</c:v>
                </c:pt>
                <c:pt idx="9">
                  <c:v>899</c:v>
                </c:pt>
                <c:pt idx="10">
                  <c:v>697</c:v>
                </c:pt>
                <c:pt idx="11">
                  <c:v>880</c:v>
                </c:pt>
                <c:pt idx="12">
                  <c:v>704</c:v>
                </c:pt>
                <c:pt idx="13">
                  <c:v>871</c:v>
                </c:pt>
                <c:pt idx="14">
                  <c:v>638</c:v>
                </c:pt>
                <c:pt idx="15">
                  <c:v>821</c:v>
                </c:pt>
                <c:pt idx="16">
                  <c:v>631</c:v>
                </c:pt>
                <c:pt idx="17">
                  <c:v>773</c:v>
                </c:pt>
              </c:numCache>
            </c:numRef>
          </c:val>
        </c:ser>
        <c:ser>
          <c:idx val="2"/>
          <c:order val="2"/>
          <c:tx>
            <c:strRef>
              <c:f>'16. ábra'!$B$6</c:f>
              <c:strCache>
                <c:ptCount val="1"/>
                <c:pt idx="0">
                  <c:v>Mg Forint folyószámla- és egyéb éven belüli hitelek (db)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ysClr val="windowText" lastClr="000000"/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endParaRPr lang="hu-HU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multiLvlStrRef>
              <c:f>'16. ábra'!$C$2:$T$3</c:f>
              <c:multiLvlStrCache>
                <c:ptCount val="18"/>
                <c:lvl>
                  <c:pt idx="0">
                    <c:v>Egyéni</c:v>
                  </c:pt>
                  <c:pt idx="1">
                    <c:v>Társas</c:v>
                  </c:pt>
                  <c:pt idx="2">
                    <c:v>Egyéni</c:v>
                  </c:pt>
                  <c:pt idx="3">
                    <c:v>Társas</c:v>
                  </c:pt>
                  <c:pt idx="4">
                    <c:v>Egyéni</c:v>
                  </c:pt>
                  <c:pt idx="5">
                    <c:v>Társas</c:v>
                  </c:pt>
                  <c:pt idx="6">
                    <c:v>Egyéni</c:v>
                  </c:pt>
                  <c:pt idx="7">
                    <c:v>Társas</c:v>
                  </c:pt>
                  <c:pt idx="8">
                    <c:v>Egyéni</c:v>
                  </c:pt>
                  <c:pt idx="9">
                    <c:v>Társas</c:v>
                  </c:pt>
                  <c:pt idx="10">
                    <c:v>Egyéni</c:v>
                  </c:pt>
                  <c:pt idx="11">
                    <c:v>Társas</c:v>
                  </c:pt>
                  <c:pt idx="12">
                    <c:v>Egyéni</c:v>
                  </c:pt>
                  <c:pt idx="13">
                    <c:v>Társas</c:v>
                  </c:pt>
                  <c:pt idx="14">
                    <c:v>Egyéni</c:v>
                  </c:pt>
                  <c:pt idx="15">
                    <c:v>Társas</c:v>
                  </c:pt>
                  <c:pt idx="16">
                    <c:v>Egyéni</c:v>
                  </c:pt>
                  <c:pt idx="17">
                    <c:v>Társas</c:v>
                  </c:pt>
                </c:lvl>
                <c:lvl>
                  <c:pt idx="0">
                    <c:v>2023. I.</c:v>
                  </c:pt>
                  <c:pt idx="2">
                    <c:v>2023. II.</c:v>
                  </c:pt>
                  <c:pt idx="4">
                    <c:v>2023. III.</c:v>
                  </c:pt>
                  <c:pt idx="6">
                    <c:v>2023. IV.</c:v>
                  </c:pt>
                  <c:pt idx="8">
                    <c:v>2024. I.</c:v>
                  </c:pt>
                  <c:pt idx="10">
                    <c:v>2024. II.</c:v>
                  </c:pt>
                  <c:pt idx="12">
                    <c:v>2024. III.</c:v>
                  </c:pt>
                  <c:pt idx="14">
                    <c:v>2024. IV.</c:v>
                  </c:pt>
                  <c:pt idx="16">
                    <c:v>2025. I.</c:v>
                  </c:pt>
                </c:lvl>
              </c:multiLvlStrCache>
            </c:multiLvlStrRef>
          </c:cat>
          <c:val>
            <c:numRef>
              <c:f>'16. ábra'!$C$6:$T$6</c:f>
              <c:numCache>
                <c:formatCode>#,##0</c:formatCode>
                <c:ptCount val="18"/>
                <c:pt idx="0">
                  <c:v>9866</c:v>
                </c:pt>
                <c:pt idx="1">
                  <c:v>2681</c:v>
                </c:pt>
                <c:pt idx="2">
                  <c:v>9790</c:v>
                </c:pt>
                <c:pt idx="3">
                  <c:v>2660</c:v>
                </c:pt>
                <c:pt idx="4">
                  <c:v>9736</c:v>
                </c:pt>
                <c:pt idx="5">
                  <c:v>2607</c:v>
                </c:pt>
                <c:pt idx="6">
                  <c:v>9522</c:v>
                </c:pt>
                <c:pt idx="7">
                  <c:v>2645</c:v>
                </c:pt>
                <c:pt idx="8">
                  <c:v>9579</c:v>
                </c:pt>
                <c:pt idx="9">
                  <c:v>2688</c:v>
                </c:pt>
                <c:pt idx="10">
                  <c:v>13460</c:v>
                </c:pt>
                <c:pt idx="11">
                  <c:v>3629</c:v>
                </c:pt>
                <c:pt idx="12">
                  <c:v>14840</c:v>
                </c:pt>
                <c:pt idx="13">
                  <c:v>3939</c:v>
                </c:pt>
                <c:pt idx="14">
                  <c:v>7251</c:v>
                </c:pt>
                <c:pt idx="15">
                  <c:v>2251</c:v>
                </c:pt>
                <c:pt idx="16">
                  <c:v>7225</c:v>
                </c:pt>
                <c:pt idx="17">
                  <c:v>2268</c:v>
                </c:pt>
              </c:numCache>
            </c:numRef>
          </c:val>
        </c:ser>
        <c:ser>
          <c:idx val="3"/>
          <c:order val="3"/>
          <c:tx>
            <c:strRef>
              <c:f>'16. ábra'!$B$7</c:f>
              <c:strCache>
                <c:ptCount val="1"/>
                <c:pt idx="0">
                  <c:v>Mg Egyéb hitelek (db)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endParaRPr lang="hu-HU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multiLvlStrRef>
              <c:f>'16. ábra'!$C$2:$T$3</c:f>
              <c:multiLvlStrCache>
                <c:ptCount val="18"/>
                <c:lvl>
                  <c:pt idx="0">
                    <c:v>Egyéni</c:v>
                  </c:pt>
                  <c:pt idx="1">
                    <c:v>Társas</c:v>
                  </c:pt>
                  <c:pt idx="2">
                    <c:v>Egyéni</c:v>
                  </c:pt>
                  <c:pt idx="3">
                    <c:v>Társas</c:v>
                  </c:pt>
                  <c:pt idx="4">
                    <c:v>Egyéni</c:v>
                  </c:pt>
                  <c:pt idx="5">
                    <c:v>Társas</c:v>
                  </c:pt>
                  <c:pt idx="6">
                    <c:v>Egyéni</c:v>
                  </c:pt>
                  <c:pt idx="7">
                    <c:v>Társas</c:v>
                  </c:pt>
                  <c:pt idx="8">
                    <c:v>Egyéni</c:v>
                  </c:pt>
                  <c:pt idx="9">
                    <c:v>Társas</c:v>
                  </c:pt>
                  <c:pt idx="10">
                    <c:v>Egyéni</c:v>
                  </c:pt>
                  <c:pt idx="11">
                    <c:v>Társas</c:v>
                  </c:pt>
                  <c:pt idx="12">
                    <c:v>Egyéni</c:v>
                  </c:pt>
                  <c:pt idx="13">
                    <c:v>Társas</c:v>
                  </c:pt>
                  <c:pt idx="14">
                    <c:v>Egyéni</c:v>
                  </c:pt>
                  <c:pt idx="15">
                    <c:v>Társas</c:v>
                  </c:pt>
                  <c:pt idx="16">
                    <c:v>Egyéni</c:v>
                  </c:pt>
                  <c:pt idx="17">
                    <c:v>Társas</c:v>
                  </c:pt>
                </c:lvl>
                <c:lvl>
                  <c:pt idx="0">
                    <c:v>2023. I.</c:v>
                  </c:pt>
                  <c:pt idx="2">
                    <c:v>2023. II.</c:v>
                  </c:pt>
                  <c:pt idx="4">
                    <c:v>2023. III.</c:v>
                  </c:pt>
                  <c:pt idx="6">
                    <c:v>2023. IV.</c:v>
                  </c:pt>
                  <c:pt idx="8">
                    <c:v>2024. I.</c:v>
                  </c:pt>
                  <c:pt idx="10">
                    <c:v>2024. II.</c:v>
                  </c:pt>
                  <c:pt idx="12">
                    <c:v>2024. III.</c:v>
                  </c:pt>
                  <c:pt idx="14">
                    <c:v>2024. IV.</c:v>
                  </c:pt>
                  <c:pt idx="16">
                    <c:v>2025. I.</c:v>
                  </c:pt>
                </c:lvl>
              </c:multiLvlStrCache>
            </c:multiLvlStrRef>
          </c:cat>
          <c:val>
            <c:numRef>
              <c:f>'16. ábra'!$C$7:$T$7</c:f>
              <c:numCache>
                <c:formatCode>#,##0</c:formatCode>
                <c:ptCount val="18"/>
                <c:pt idx="0">
                  <c:v>2160</c:v>
                </c:pt>
                <c:pt idx="1">
                  <c:v>874</c:v>
                </c:pt>
                <c:pt idx="2">
                  <c:v>2195</c:v>
                </c:pt>
                <c:pt idx="3">
                  <c:v>839</c:v>
                </c:pt>
                <c:pt idx="4">
                  <c:v>2045</c:v>
                </c:pt>
                <c:pt idx="5">
                  <c:v>802</c:v>
                </c:pt>
                <c:pt idx="6">
                  <c:v>3986</c:v>
                </c:pt>
                <c:pt idx="7">
                  <c:v>2145</c:v>
                </c:pt>
                <c:pt idx="8">
                  <c:v>4176</c:v>
                </c:pt>
                <c:pt idx="9">
                  <c:v>2260</c:v>
                </c:pt>
                <c:pt idx="10">
                  <c:v>4856</c:v>
                </c:pt>
                <c:pt idx="11">
                  <c:v>2426</c:v>
                </c:pt>
                <c:pt idx="12">
                  <c:v>5221</c:v>
                </c:pt>
                <c:pt idx="13">
                  <c:v>2438</c:v>
                </c:pt>
                <c:pt idx="14">
                  <c:v>1892</c:v>
                </c:pt>
                <c:pt idx="15">
                  <c:v>641</c:v>
                </c:pt>
                <c:pt idx="16">
                  <c:v>1739</c:v>
                </c:pt>
                <c:pt idx="17">
                  <c:v>631</c:v>
                </c:pt>
              </c:numCache>
            </c:numRef>
          </c:val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581350280"/>
        <c:axId val="581350672"/>
      </c:barChart>
      <c:catAx>
        <c:axId val="5813502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hu-HU"/>
          </a:p>
        </c:txPr>
        <c:crossAx val="581350672"/>
        <c:crosses val="autoZero"/>
        <c:auto val="1"/>
        <c:lblAlgn val="ctr"/>
        <c:lblOffset val="100"/>
        <c:noMultiLvlLbl val="0"/>
      </c:catAx>
      <c:valAx>
        <c:axId val="58135067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hu-HU"/>
          </a:p>
        </c:txPr>
        <c:crossAx val="58135028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Times New Roman" panose="02020603050405020304" pitchFamily="18" charset="0"/>
              <a:ea typeface="+mn-ea"/>
              <a:cs typeface="Times New Roman" panose="02020603050405020304" pitchFamily="18" charset="0"/>
            </a:defRPr>
          </a:pPr>
          <a:endParaRPr lang="hu-HU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latin typeface="Times New Roman" panose="02020603050405020304" pitchFamily="18" charset="0"/>
          <a:cs typeface="Times New Roman" panose="02020603050405020304" pitchFamily="18" charset="0"/>
        </a:defRPr>
      </a:pPr>
      <a:endParaRPr lang="hu-HU"/>
    </a:p>
  </c:txPr>
  <c:printSettings>
    <c:headerFooter/>
    <c:pageMargins b="0.75" l="0.7" r="0.7" t="0.75" header="0.3" footer="0.3"/>
    <c:pageSetup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hu-H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'17. ábra'!$H$7</c:f>
              <c:strCache>
                <c:ptCount val="1"/>
                <c:pt idx="0">
                  <c:v>Egyéni (db)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600" b="1" i="0" u="none" strike="noStrike" kern="1200" baseline="0">
                    <a:solidFill>
                      <a:sysClr val="windowText" lastClr="000000"/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endParaRPr lang="hu-HU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'17. ábra'!$I$6:$Q$6</c:f>
              <c:strCache>
                <c:ptCount val="9"/>
                <c:pt idx="0">
                  <c:v>2023. I.</c:v>
                </c:pt>
                <c:pt idx="1">
                  <c:v>2023. II.</c:v>
                </c:pt>
                <c:pt idx="2">
                  <c:v>2023. III.</c:v>
                </c:pt>
                <c:pt idx="3">
                  <c:v>2023. IV.</c:v>
                </c:pt>
                <c:pt idx="4">
                  <c:v>2024. I.</c:v>
                </c:pt>
                <c:pt idx="5">
                  <c:v>2024. II.</c:v>
                </c:pt>
                <c:pt idx="6">
                  <c:v>2024. III.</c:v>
                </c:pt>
                <c:pt idx="7">
                  <c:v>2024. IV.</c:v>
                </c:pt>
                <c:pt idx="8">
                  <c:v>2025. I.</c:v>
                </c:pt>
              </c:strCache>
            </c:strRef>
          </c:cat>
          <c:val>
            <c:numRef>
              <c:f>'17. ábra'!$I$7:$Q$7</c:f>
              <c:numCache>
                <c:formatCode>#,##0</c:formatCode>
                <c:ptCount val="9"/>
                <c:pt idx="0">
                  <c:v>314</c:v>
                </c:pt>
                <c:pt idx="1">
                  <c:v>307</c:v>
                </c:pt>
                <c:pt idx="2">
                  <c:v>301</c:v>
                </c:pt>
                <c:pt idx="3">
                  <c:v>390</c:v>
                </c:pt>
                <c:pt idx="4">
                  <c:v>389</c:v>
                </c:pt>
                <c:pt idx="5">
                  <c:v>473</c:v>
                </c:pt>
                <c:pt idx="6">
                  <c:v>487</c:v>
                </c:pt>
                <c:pt idx="7">
                  <c:v>259</c:v>
                </c:pt>
                <c:pt idx="8">
                  <c:v>251</c:v>
                </c:pt>
              </c:numCache>
            </c:numRef>
          </c:val>
        </c:ser>
        <c:ser>
          <c:idx val="1"/>
          <c:order val="1"/>
          <c:tx>
            <c:strRef>
              <c:f>'17. ábra'!$H$8</c:f>
              <c:strCache>
                <c:ptCount val="1"/>
                <c:pt idx="0">
                  <c:v>Társas (db)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600" b="1" i="0" u="none" strike="noStrike" kern="1200" baseline="0">
                    <a:solidFill>
                      <a:sysClr val="windowText" lastClr="000000"/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endParaRPr lang="hu-HU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'17. ábra'!$I$6:$Q$6</c:f>
              <c:strCache>
                <c:ptCount val="9"/>
                <c:pt idx="0">
                  <c:v>2023. I.</c:v>
                </c:pt>
                <c:pt idx="1">
                  <c:v>2023. II.</c:v>
                </c:pt>
                <c:pt idx="2">
                  <c:v>2023. III.</c:v>
                </c:pt>
                <c:pt idx="3">
                  <c:v>2023. IV.</c:v>
                </c:pt>
                <c:pt idx="4">
                  <c:v>2024. I.</c:v>
                </c:pt>
                <c:pt idx="5">
                  <c:v>2024. II.</c:v>
                </c:pt>
                <c:pt idx="6">
                  <c:v>2024. III.</c:v>
                </c:pt>
                <c:pt idx="7">
                  <c:v>2024. IV.</c:v>
                </c:pt>
                <c:pt idx="8">
                  <c:v>2025. I.</c:v>
                </c:pt>
              </c:strCache>
            </c:strRef>
          </c:cat>
          <c:val>
            <c:numRef>
              <c:f>'17. ábra'!$I$8:$Q$8</c:f>
              <c:numCache>
                <c:formatCode>#,##0</c:formatCode>
                <c:ptCount val="9"/>
                <c:pt idx="0">
                  <c:v>1793</c:v>
                </c:pt>
                <c:pt idx="1">
                  <c:v>1807</c:v>
                </c:pt>
                <c:pt idx="2">
                  <c:v>1777</c:v>
                </c:pt>
                <c:pt idx="3">
                  <c:v>2330</c:v>
                </c:pt>
                <c:pt idx="4">
                  <c:v>2355</c:v>
                </c:pt>
                <c:pt idx="5">
                  <c:v>2695</c:v>
                </c:pt>
                <c:pt idx="6">
                  <c:v>2723</c:v>
                </c:pt>
                <c:pt idx="7">
                  <c:v>1612</c:v>
                </c:pt>
                <c:pt idx="8">
                  <c:v>1588</c:v>
                </c:pt>
              </c:numCache>
            </c:numRef>
          </c:val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581356944"/>
        <c:axId val="581353808"/>
      </c:barChart>
      <c:catAx>
        <c:axId val="58135694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hu-HU"/>
          </a:p>
        </c:txPr>
        <c:crossAx val="581353808"/>
        <c:crosses val="autoZero"/>
        <c:auto val="1"/>
        <c:lblAlgn val="ctr"/>
        <c:lblOffset val="100"/>
        <c:noMultiLvlLbl val="0"/>
      </c:catAx>
      <c:valAx>
        <c:axId val="58135380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hu-HU"/>
          </a:p>
        </c:txPr>
        <c:crossAx val="58135694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Times New Roman" panose="02020603050405020304" pitchFamily="18" charset="0"/>
              <a:ea typeface="+mn-ea"/>
              <a:cs typeface="Times New Roman" panose="02020603050405020304" pitchFamily="18" charset="0"/>
            </a:defRPr>
          </a:pPr>
          <a:endParaRPr lang="hu-HU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ysClr val="windowText" lastClr="000000"/>
          </a:solidFill>
          <a:latin typeface="Times New Roman" panose="02020603050405020304" pitchFamily="18" charset="0"/>
          <a:cs typeface="Times New Roman" panose="02020603050405020304" pitchFamily="18" charset="0"/>
        </a:defRPr>
      </a:pPr>
      <a:endParaRPr lang="hu-HU"/>
    </a:p>
  </c:txPr>
  <c:printSettings>
    <c:headerFooter/>
    <c:pageMargins b="0.75" l="0.7" r="0.7" t="0.75" header="0.3" footer="0.3"/>
    <c:pageSetup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hu-H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'18. ábra'!$C$5</c:f>
              <c:strCache>
                <c:ptCount val="1"/>
                <c:pt idx="0">
                  <c:v>Élip Beruházási hitelek (db)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-3.2619775739041797E-2"/>
                  <c:y val="-3.2962500872727629E-3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2.9901461094121645E-2"/>
                  <c:y val="-3.2962500872727629E-3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3.6697247706422069E-2"/>
                  <c:y val="-1.2086110700217974E-16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-3.2619775739041797E-2"/>
                  <c:y val="-9.8887502618182892E-3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layout>
                <c:manualLayout>
                  <c:x val="-3.2619775739041797E-2"/>
                  <c:y val="-9.8887502618182892E-3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ysClr val="windowText" lastClr="000000"/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endParaRPr lang="hu-HU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multiLvlStrRef>
              <c:f>'18. ábra'!$D$3:$U$4</c:f>
              <c:multiLvlStrCache>
                <c:ptCount val="18"/>
                <c:lvl>
                  <c:pt idx="0">
                    <c:v>Egyéni</c:v>
                  </c:pt>
                  <c:pt idx="1">
                    <c:v>Társas</c:v>
                  </c:pt>
                  <c:pt idx="2">
                    <c:v>Egyéni</c:v>
                  </c:pt>
                  <c:pt idx="3">
                    <c:v>Társas</c:v>
                  </c:pt>
                  <c:pt idx="4">
                    <c:v>Egyéni</c:v>
                  </c:pt>
                  <c:pt idx="5">
                    <c:v>Társas</c:v>
                  </c:pt>
                  <c:pt idx="6">
                    <c:v>Egyéni</c:v>
                  </c:pt>
                  <c:pt idx="7">
                    <c:v>Társas</c:v>
                  </c:pt>
                  <c:pt idx="8">
                    <c:v>Egyéni</c:v>
                  </c:pt>
                  <c:pt idx="9">
                    <c:v>Társas</c:v>
                  </c:pt>
                  <c:pt idx="10">
                    <c:v>Egyéni</c:v>
                  </c:pt>
                  <c:pt idx="11">
                    <c:v>Társas</c:v>
                  </c:pt>
                  <c:pt idx="12">
                    <c:v>Egyéni</c:v>
                  </c:pt>
                  <c:pt idx="13">
                    <c:v>Társas</c:v>
                  </c:pt>
                  <c:pt idx="14">
                    <c:v>Egyéni</c:v>
                  </c:pt>
                  <c:pt idx="15">
                    <c:v>Társas</c:v>
                  </c:pt>
                  <c:pt idx="16">
                    <c:v>Egyéni</c:v>
                  </c:pt>
                  <c:pt idx="17">
                    <c:v>Társas</c:v>
                  </c:pt>
                </c:lvl>
                <c:lvl>
                  <c:pt idx="0">
                    <c:v>2023. I.</c:v>
                  </c:pt>
                  <c:pt idx="2">
                    <c:v>2023. II.</c:v>
                  </c:pt>
                  <c:pt idx="4">
                    <c:v>2023. III.</c:v>
                  </c:pt>
                  <c:pt idx="6">
                    <c:v>2023. IV.</c:v>
                  </c:pt>
                  <c:pt idx="8">
                    <c:v>2024. I.</c:v>
                  </c:pt>
                  <c:pt idx="10">
                    <c:v>2024. II.</c:v>
                  </c:pt>
                  <c:pt idx="12">
                    <c:v>2024. III.</c:v>
                  </c:pt>
                  <c:pt idx="14">
                    <c:v>2024. IV.</c:v>
                  </c:pt>
                  <c:pt idx="16">
                    <c:v>2025. I.</c:v>
                  </c:pt>
                </c:lvl>
              </c:multiLvlStrCache>
            </c:multiLvlStrRef>
          </c:cat>
          <c:val>
            <c:numRef>
              <c:f>'18. ábra'!$D$5:$U$5</c:f>
              <c:numCache>
                <c:formatCode>#,##0</c:formatCode>
                <c:ptCount val="18"/>
                <c:pt idx="0">
                  <c:v>112</c:v>
                </c:pt>
                <c:pt idx="1">
                  <c:v>1045</c:v>
                </c:pt>
                <c:pt idx="2">
                  <c:v>106</c:v>
                </c:pt>
                <c:pt idx="3">
                  <c:v>1056</c:v>
                </c:pt>
                <c:pt idx="4">
                  <c:v>103</c:v>
                </c:pt>
                <c:pt idx="5">
                  <c:v>1051</c:v>
                </c:pt>
                <c:pt idx="6">
                  <c:v>107</c:v>
                </c:pt>
                <c:pt idx="7">
                  <c:v>1040</c:v>
                </c:pt>
                <c:pt idx="8">
                  <c:v>109</c:v>
                </c:pt>
                <c:pt idx="9">
                  <c:v>1040</c:v>
                </c:pt>
                <c:pt idx="10">
                  <c:v>108</c:v>
                </c:pt>
                <c:pt idx="11">
                  <c:v>1035</c:v>
                </c:pt>
                <c:pt idx="12">
                  <c:v>108</c:v>
                </c:pt>
                <c:pt idx="13">
                  <c:v>1018</c:v>
                </c:pt>
                <c:pt idx="14">
                  <c:v>110</c:v>
                </c:pt>
                <c:pt idx="15">
                  <c:v>988</c:v>
                </c:pt>
                <c:pt idx="16">
                  <c:v>121</c:v>
                </c:pt>
                <c:pt idx="17">
                  <c:v>970</c:v>
                </c:pt>
              </c:numCache>
            </c:numRef>
          </c:val>
        </c:ser>
        <c:ser>
          <c:idx val="1"/>
          <c:order val="1"/>
          <c:tx>
            <c:strRef>
              <c:f>'18. ábra'!$C$6</c:f>
              <c:strCache>
                <c:ptCount val="1"/>
                <c:pt idx="0">
                  <c:v>Élip Hosszú lejáratú forgóeszköz hitelek (db)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3.2619775739041797E-2"/>
                  <c:y val="0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3.1260618416581717E-2"/>
                  <c:y val="-6.5925001745455259E-3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3.1260618416581717E-2"/>
                  <c:y val="-3.2962500872727629E-3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3.2619775739041693E-2"/>
                  <c:y val="-6.5925001745455259E-3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layout>
                <c:manualLayout>
                  <c:x val="3.2619775739041693E-2"/>
                  <c:y val="-6.5925001745455259E-3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ysClr val="windowText" lastClr="000000"/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endParaRPr lang="hu-HU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multiLvlStrRef>
              <c:f>'18. ábra'!$D$3:$U$4</c:f>
              <c:multiLvlStrCache>
                <c:ptCount val="18"/>
                <c:lvl>
                  <c:pt idx="0">
                    <c:v>Egyéni</c:v>
                  </c:pt>
                  <c:pt idx="1">
                    <c:v>Társas</c:v>
                  </c:pt>
                  <c:pt idx="2">
                    <c:v>Egyéni</c:v>
                  </c:pt>
                  <c:pt idx="3">
                    <c:v>Társas</c:v>
                  </c:pt>
                  <c:pt idx="4">
                    <c:v>Egyéni</c:v>
                  </c:pt>
                  <c:pt idx="5">
                    <c:v>Társas</c:v>
                  </c:pt>
                  <c:pt idx="6">
                    <c:v>Egyéni</c:v>
                  </c:pt>
                  <c:pt idx="7">
                    <c:v>Társas</c:v>
                  </c:pt>
                  <c:pt idx="8">
                    <c:v>Egyéni</c:v>
                  </c:pt>
                  <c:pt idx="9">
                    <c:v>Társas</c:v>
                  </c:pt>
                  <c:pt idx="10">
                    <c:v>Egyéni</c:v>
                  </c:pt>
                  <c:pt idx="11">
                    <c:v>Társas</c:v>
                  </c:pt>
                  <c:pt idx="12">
                    <c:v>Egyéni</c:v>
                  </c:pt>
                  <c:pt idx="13">
                    <c:v>Társas</c:v>
                  </c:pt>
                  <c:pt idx="14">
                    <c:v>Egyéni</c:v>
                  </c:pt>
                  <c:pt idx="15">
                    <c:v>Társas</c:v>
                  </c:pt>
                  <c:pt idx="16">
                    <c:v>Egyéni</c:v>
                  </c:pt>
                  <c:pt idx="17">
                    <c:v>Társas</c:v>
                  </c:pt>
                </c:lvl>
                <c:lvl>
                  <c:pt idx="0">
                    <c:v>2023. I.</c:v>
                  </c:pt>
                  <c:pt idx="2">
                    <c:v>2023. II.</c:v>
                  </c:pt>
                  <c:pt idx="4">
                    <c:v>2023. III.</c:v>
                  </c:pt>
                  <c:pt idx="6">
                    <c:v>2023. IV.</c:v>
                  </c:pt>
                  <c:pt idx="8">
                    <c:v>2024. I.</c:v>
                  </c:pt>
                  <c:pt idx="10">
                    <c:v>2024. II.</c:v>
                  </c:pt>
                  <c:pt idx="12">
                    <c:v>2024. III.</c:v>
                  </c:pt>
                  <c:pt idx="14">
                    <c:v>2024. IV.</c:v>
                  </c:pt>
                  <c:pt idx="16">
                    <c:v>2025. I.</c:v>
                  </c:pt>
                </c:lvl>
              </c:multiLvlStrCache>
            </c:multiLvlStrRef>
          </c:cat>
          <c:val>
            <c:numRef>
              <c:f>'18. ábra'!$D$6:$U$6</c:f>
              <c:numCache>
                <c:formatCode>#,##0</c:formatCode>
                <c:ptCount val="18"/>
                <c:pt idx="0">
                  <c:v>27</c:v>
                </c:pt>
                <c:pt idx="1">
                  <c:v>611</c:v>
                </c:pt>
                <c:pt idx="2">
                  <c:v>26</c:v>
                </c:pt>
                <c:pt idx="3">
                  <c:v>623</c:v>
                </c:pt>
                <c:pt idx="4">
                  <c:v>32</c:v>
                </c:pt>
                <c:pt idx="5">
                  <c:v>626</c:v>
                </c:pt>
                <c:pt idx="6">
                  <c:v>30</c:v>
                </c:pt>
                <c:pt idx="7">
                  <c:v>613</c:v>
                </c:pt>
                <c:pt idx="8">
                  <c:v>31</c:v>
                </c:pt>
                <c:pt idx="9">
                  <c:v>579</c:v>
                </c:pt>
                <c:pt idx="10">
                  <c:v>26</c:v>
                </c:pt>
                <c:pt idx="11">
                  <c:v>557</c:v>
                </c:pt>
                <c:pt idx="12">
                  <c:v>28</c:v>
                </c:pt>
                <c:pt idx="13">
                  <c:v>545</c:v>
                </c:pt>
                <c:pt idx="14">
                  <c:v>31</c:v>
                </c:pt>
                <c:pt idx="15">
                  <c:v>517</c:v>
                </c:pt>
                <c:pt idx="16">
                  <c:v>33</c:v>
                </c:pt>
                <c:pt idx="17">
                  <c:v>470</c:v>
                </c:pt>
              </c:numCache>
            </c:numRef>
          </c:val>
        </c:ser>
        <c:ser>
          <c:idx val="2"/>
          <c:order val="2"/>
          <c:tx>
            <c:strRef>
              <c:f>'18. ábra'!$C$7</c:f>
              <c:strCache>
                <c:ptCount val="1"/>
                <c:pt idx="0">
                  <c:v>Élip Forint folyószámla- és egyéb éven belüli hitelek (db)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1.3591573224600749E-3"/>
                  <c:y val="3.2962500872727629E-3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ysClr val="windowText" lastClr="000000"/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endParaRPr lang="hu-HU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multiLvlStrRef>
              <c:f>'18. ábra'!$D$3:$U$4</c:f>
              <c:multiLvlStrCache>
                <c:ptCount val="18"/>
                <c:lvl>
                  <c:pt idx="0">
                    <c:v>Egyéni</c:v>
                  </c:pt>
                  <c:pt idx="1">
                    <c:v>Társas</c:v>
                  </c:pt>
                  <c:pt idx="2">
                    <c:v>Egyéni</c:v>
                  </c:pt>
                  <c:pt idx="3">
                    <c:v>Társas</c:v>
                  </c:pt>
                  <c:pt idx="4">
                    <c:v>Egyéni</c:v>
                  </c:pt>
                  <c:pt idx="5">
                    <c:v>Társas</c:v>
                  </c:pt>
                  <c:pt idx="6">
                    <c:v>Egyéni</c:v>
                  </c:pt>
                  <c:pt idx="7">
                    <c:v>Társas</c:v>
                  </c:pt>
                  <c:pt idx="8">
                    <c:v>Egyéni</c:v>
                  </c:pt>
                  <c:pt idx="9">
                    <c:v>Társas</c:v>
                  </c:pt>
                  <c:pt idx="10">
                    <c:v>Egyéni</c:v>
                  </c:pt>
                  <c:pt idx="11">
                    <c:v>Társas</c:v>
                  </c:pt>
                  <c:pt idx="12">
                    <c:v>Egyéni</c:v>
                  </c:pt>
                  <c:pt idx="13">
                    <c:v>Társas</c:v>
                  </c:pt>
                  <c:pt idx="14">
                    <c:v>Egyéni</c:v>
                  </c:pt>
                  <c:pt idx="15">
                    <c:v>Társas</c:v>
                  </c:pt>
                  <c:pt idx="16">
                    <c:v>Egyéni</c:v>
                  </c:pt>
                  <c:pt idx="17">
                    <c:v>Társas</c:v>
                  </c:pt>
                </c:lvl>
                <c:lvl>
                  <c:pt idx="0">
                    <c:v>2023. I.</c:v>
                  </c:pt>
                  <c:pt idx="2">
                    <c:v>2023. II.</c:v>
                  </c:pt>
                  <c:pt idx="4">
                    <c:v>2023. III.</c:v>
                  </c:pt>
                  <c:pt idx="6">
                    <c:v>2023. IV.</c:v>
                  </c:pt>
                  <c:pt idx="8">
                    <c:v>2024. I.</c:v>
                  </c:pt>
                  <c:pt idx="10">
                    <c:v>2024. II.</c:v>
                  </c:pt>
                  <c:pt idx="12">
                    <c:v>2024. III.</c:v>
                  </c:pt>
                  <c:pt idx="14">
                    <c:v>2024. IV.</c:v>
                  </c:pt>
                  <c:pt idx="16">
                    <c:v>2025. I.</c:v>
                  </c:pt>
                </c:lvl>
              </c:multiLvlStrCache>
            </c:multiLvlStrRef>
          </c:cat>
          <c:val>
            <c:numRef>
              <c:f>'18. ábra'!$D$7:$U$7</c:f>
              <c:numCache>
                <c:formatCode>#,##0</c:formatCode>
                <c:ptCount val="18"/>
                <c:pt idx="0">
                  <c:v>205</c:v>
                </c:pt>
                <c:pt idx="1">
                  <c:v>1258</c:v>
                </c:pt>
                <c:pt idx="2">
                  <c:v>199</c:v>
                </c:pt>
                <c:pt idx="3">
                  <c:v>1264</c:v>
                </c:pt>
                <c:pt idx="4">
                  <c:v>192</c:v>
                </c:pt>
                <c:pt idx="5">
                  <c:v>1237</c:v>
                </c:pt>
                <c:pt idx="6">
                  <c:v>193</c:v>
                </c:pt>
                <c:pt idx="7">
                  <c:v>1283</c:v>
                </c:pt>
                <c:pt idx="8">
                  <c:v>192</c:v>
                </c:pt>
                <c:pt idx="9">
                  <c:v>1284</c:v>
                </c:pt>
                <c:pt idx="10">
                  <c:v>299</c:v>
                </c:pt>
                <c:pt idx="11">
                  <c:v>1730</c:v>
                </c:pt>
                <c:pt idx="12">
                  <c:v>336</c:v>
                </c:pt>
                <c:pt idx="13">
                  <c:v>1804</c:v>
                </c:pt>
                <c:pt idx="14">
                  <c:v>158</c:v>
                </c:pt>
                <c:pt idx="15">
                  <c:v>1087</c:v>
                </c:pt>
                <c:pt idx="16">
                  <c:v>150</c:v>
                </c:pt>
                <c:pt idx="17">
                  <c:v>1116</c:v>
                </c:pt>
              </c:numCache>
            </c:numRef>
          </c:val>
        </c:ser>
        <c:ser>
          <c:idx val="3"/>
          <c:order val="3"/>
          <c:tx>
            <c:strRef>
              <c:f>'18. ábra'!$C$8</c:f>
              <c:strCache>
                <c:ptCount val="1"/>
                <c:pt idx="0">
                  <c:v>Élip Egyéb hitelek (db)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1.3591573224600749E-3"/>
                  <c:y val="-3.9555001047273157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ysClr val="windowText" lastClr="000000"/>
                      </a:solidFill>
                      <a:latin typeface="Times New Roman" panose="02020603050405020304" pitchFamily="18" charset="0"/>
                      <a:ea typeface="+mn-ea"/>
                      <a:cs typeface="Times New Roman" panose="02020603050405020304" pitchFamily="18" charset="0"/>
                    </a:defRPr>
                  </a:pPr>
                  <a:endParaRPr lang="hu-HU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4.9835192789803032E-17"/>
                  <c:y val="-3.9555001047273282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ysClr val="windowText" lastClr="000000"/>
                      </a:solidFill>
                      <a:latin typeface="Times New Roman" panose="02020603050405020304" pitchFamily="18" charset="0"/>
                      <a:ea typeface="+mn-ea"/>
                      <a:cs typeface="Times New Roman" panose="02020603050405020304" pitchFamily="18" charset="0"/>
                    </a:defRPr>
                  </a:pPr>
                  <a:endParaRPr lang="hu-HU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1.3591573224600749E-3"/>
                  <c:y val="-3.6258750960000516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ysClr val="windowText" lastClr="000000"/>
                      </a:solidFill>
                      <a:latin typeface="Times New Roman" panose="02020603050405020304" pitchFamily="18" charset="0"/>
                      <a:ea typeface="+mn-ea"/>
                      <a:cs typeface="Times New Roman" panose="02020603050405020304" pitchFamily="18" charset="0"/>
                    </a:defRPr>
                  </a:pPr>
                  <a:endParaRPr lang="hu-HU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0"/>
                  <c:y val="-4.2851251134546041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ysClr val="windowText" lastClr="000000"/>
                      </a:solidFill>
                      <a:latin typeface="Times New Roman" panose="02020603050405020304" pitchFamily="18" charset="0"/>
                      <a:ea typeface="+mn-ea"/>
                      <a:cs typeface="Times New Roman" panose="02020603050405020304" pitchFamily="18" charset="0"/>
                    </a:defRPr>
                  </a:pPr>
                  <a:endParaRPr lang="hu-HU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layout>
                <c:manualLayout>
                  <c:x val="0"/>
                  <c:y val="-4.2851251134546041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ysClr val="windowText" lastClr="000000"/>
                      </a:solidFill>
                      <a:latin typeface="Times New Roman" panose="02020603050405020304" pitchFamily="18" charset="0"/>
                      <a:ea typeface="+mn-ea"/>
                      <a:cs typeface="Times New Roman" panose="02020603050405020304" pitchFamily="18" charset="0"/>
                    </a:defRPr>
                  </a:pPr>
                  <a:endParaRPr lang="hu-HU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bg1"/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endParaRPr lang="hu-HU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multiLvlStrRef>
              <c:f>'18. ábra'!$D$3:$U$4</c:f>
              <c:multiLvlStrCache>
                <c:ptCount val="18"/>
                <c:lvl>
                  <c:pt idx="0">
                    <c:v>Egyéni</c:v>
                  </c:pt>
                  <c:pt idx="1">
                    <c:v>Társas</c:v>
                  </c:pt>
                  <c:pt idx="2">
                    <c:v>Egyéni</c:v>
                  </c:pt>
                  <c:pt idx="3">
                    <c:v>Társas</c:v>
                  </c:pt>
                  <c:pt idx="4">
                    <c:v>Egyéni</c:v>
                  </c:pt>
                  <c:pt idx="5">
                    <c:v>Társas</c:v>
                  </c:pt>
                  <c:pt idx="6">
                    <c:v>Egyéni</c:v>
                  </c:pt>
                  <c:pt idx="7">
                    <c:v>Társas</c:v>
                  </c:pt>
                  <c:pt idx="8">
                    <c:v>Egyéni</c:v>
                  </c:pt>
                  <c:pt idx="9">
                    <c:v>Társas</c:v>
                  </c:pt>
                  <c:pt idx="10">
                    <c:v>Egyéni</c:v>
                  </c:pt>
                  <c:pt idx="11">
                    <c:v>Társas</c:v>
                  </c:pt>
                  <c:pt idx="12">
                    <c:v>Egyéni</c:v>
                  </c:pt>
                  <c:pt idx="13">
                    <c:v>Társas</c:v>
                  </c:pt>
                  <c:pt idx="14">
                    <c:v>Egyéni</c:v>
                  </c:pt>
                  <c:pt idx="15">
                    <c:v>Társas</c:v>
                  </c:pt>
                  <c:pt idx="16">
                    <c:v>Egyéni</c:v>
                  </c:pt>
                  <c:pt idx="17">
                    <c:v>Társas</c:v>
                  </c:pt>
                </c:lvl>
                <c:lvl>
                  <c:pt idx="0">
                    <c:v>2023. I.</c:v>
                  </c:pt>
                  <c:pt idx="2">
                    <c:v>2023. II.</c:v>
                  </c:pt>
                  <c:pt idx="4">
                    <c:v>2023. III.</c:v>
                  </c:pt>
                  <c:pt idx="6">
                    <c:v>2023. IV.</c:v>
                  </c:pt>
                  <c:pt idx="8">
                    <c:v>2024. I.</c:v>
                  </c:pt>
                  <c:pt idx="10">
                    <c:v>2024. II.</c:v>
                  </c:pt>
                  <c:pt idx="12">
                    <c:v>2024. III.</c:v>
                  </c:pt>
                  <c:pt idx="14">
                    <c:v>2024. IV.</c:v>
                  </c:pt>
                  <c:pt idx="16">
                    <c:v>2025. I.</c:v>
                  </c:pt>
                </c:lvl>
              </c:multiLvlStrCache>
            </c:multiLvlStrRef>
          </c:cat>
          <c:val>
            <c:numRef>
              <c:f>'18. ábra'!$D$8:$U$8</c:f>
              <c:numCache>
                <c:formatCode>#,##0</c:formatCode>
                <c:ptCount val="18"/>
                <c:pt idx="0">
                  <c:v>61</c:v>
                </c:pt>
                <c:pt idx="1">
                  <c:v>396</c:v>
                </c:pt>
                <c:pt idx="2">
                  <c:v>61</c:v>
                </c:pt>
                <c:pt idx="3">
                  <c:v>365</c:v>
                </c:pt>
                <c:pt idx="4">
                  <c:v>51</c:v>
                </c:pt>
                <c:pt idx="5">
                  <c:v>366</c:v>
                </c:pt>
                <c:pt idx="6">
                  <c:v>148</c:v>
                </c:pt>
                <c:pt idx="7">
                  <c:v>1313</c:v>
                </c:pt>
                <c:pt idx="8">
                  <c:v>155</c:v>
                </c:pt>
                <c:pt idx="9">
                  <c:v>1372</c:v>
                </c:pt>
                <c:pt idx="10">
                  <c:v>173</c:v>
                </c:pt>
                <c:pt idx="11">
                  <c:v>1498</c:v>
                </c:pt>
                <c:pt idx="12">
                  <c:v>167</c:v>
                </c:pt>
                <c:pt idx="13">
                  <c:v>1512</c:v>
                </c:pt>
                <c:pt idx="14">
                  <c:v>32</c:v>
                </c:pt>
                <c:pt idx="15">
                  <c:v>217</c:v>
                </c:pt>
                <c:pt idx="16">
                  <c:v>31</c:v>
                </c:pt>
                <c:pt idx="17">
                  <c:v>200</c:v>
                </c:pt>
              </c:numCache>
            </c:numRef>
          </c:val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581354592"/>
        <c:axId val="581354984"/>
      </c:barChart>
      <c:catAx>
        <c:axId val="58135459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hu-HU"/>
          </a:p>
        </c:txPr>
        <c:crossAx val="581354984"/>
        <c:crosses val="autoZero"/>
        <c:auto val="1"/>
        <c:lblAlgn val="ctr"/>
        <c:lblOffset val="100"/>
        <c:noMultiLvlLbl val="0"/>
      </c:catAx>
      <c:valAx>
        <c:axId val="58135498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hu-HU"/>
          </a:p>
        </c:txPr>
        <c:crossAx val="58135459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Times New Roman" panose="02020603050405020304" pitchFamily="18" charset="0"/>
              <a:ea typeface="+mn-ea"/>
              <a:cs typeface="Times New Roman" panose="02020603050405020304" pitchFamily="18" charset="0"/>
            </a:defRPr>
          </a:pPr>
          <a:endParaRPr lang="hu-HU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ysClr val="windowText" lastClr="000000"/>
          </a:solidFill>
          <a:latin typeface="Times New Roman" panose="02020603050405020304" pitchFamily="18" charset="0"/>
          <a:cs typeface="Times New Roman" panose="02020603050405020304" pitchFamily="18" charset="0"/>
        </a:defRPr>
      </a:pPr>
      <a:endParaRPr lang="hu-HU"/>
    </a:p>
  </c:txPr>
  <c:printSettings>
    <c:headerFooter/>
    <c:pageMargins b="0.75" l="0.7" r="0.7" t="0.75" header="0.3" footer="0.3"/>
    <c:pageSetup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hu-H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'11. ábra_MNB_AM'!$C$3</c:f>
              <c:strCache>
                <c:ptCount val="1"/>
                <c:pt idx="0">
                  <c:v>AM - Mg. gazdasági szervezetek (milliárd Ft)</c:v>
                </c:pt>
              </c:strCache>
            </c:strRef>
          </c:tx>
          <c:spPr>
            <a:solidFill>
              <a:srgbClr val="92D050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 sz="1000" b="1">
                    <a:latin typeface="Times New Roman" panose="02020603050405020304" pitchFamily="18" charset="0"/>
                    <a:cs typeface="Times New Roman" panose="02020603050405020304" pitchFamily="18" charset="0"/>
                  </a:defRPr>
                </a:pPr>
                <a:endParaRPr lang="hu-HU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'11. ábra_MNB_AM'!$Q$2:$AH$2</c:f>
              <c:strCache>
                <c:ptCount val="18"/>
                <c:pt idx="0">
                  <c:v>2019.I. </c:v>
                </c:pt>
                <c:pt idx="1">
                  <c:v>2019.II.</c:v>
                </c:pt>
                <c:pt idx="2">
                  <c:v>2019.III.</c:v>
                </c:pt>
                <c:pt idx="3">
                  <c:v>2019.IV.</c:v>
                </c:pt>
                <c:pt idx="4">
                  <c:v>2020.I.</c:v>
                </c:pt>
                <c:pt idx="5">
                  <c:v>2020.II.</c:v>
                </c:pt>
                <c:pt idx="6">
                  <c:v>2020.III.</c:v>
                </c:pt>
                <c:pt idx="7">
                  <c:v>2020.IV.</c:v>
                </c:pt>
                <c:pt idx="8">
                  <c:v>2021.I.</c:v>
                </c:pt>
                <c:pt idx="9">
                  <c:v>2021. II.</c:v>
                </c:pt>
                <c:pt idx="10">
                  <c:v>2021. III.</c:v>
                </c:pt>
                <c:pt idx="11">
                  <c:v>2021. IV.</c:v>
                </c:pt>
                <c:pt idx="12">
                  <c:v>2022.I.*</c:v>
                </c:pt>
                <c:pt idx="13">
                  <c:v>2022.II.*</c:v>
                </c:pt>
                <c:pt idx="14">
                  <c:v>2022.III.*</c:v>
                </c:pt>
                <c:pt idx="15">
                  <c:v>2022.IV.*</c:v>
                </c:pt>
                <c:pt idx="16">
                  <c:v>2023. I.*</c:v>
                </c:pt>
                <c:pt idx="17">
                  <c:v>2023. II.</c:v>
                </c:pt>
              </c:strCache>
            </c:strRef>
          </c:cat>
          <c:val>
            <c:numRef>
              <c:f>'11. ábra_MNB_AM'!$Q$3:$AH$3</c:f>
              <c:numCache>
                <c:formatCode>#\ ##0.0</c:formatCode>
                <c:ptCount val="18"/>
                <c:pt idx="0">
                  <c:v>350.202</c:v>
                </c:pt>
                <c:pt idx="1">
                  <c:v>373.863</c:v>
                </c:pt>
                <c:pt idx="2">
                  <c:v>388.93900000000002</c:v>
                </c:pt>
                <c:pt idx="3">
                  <c:v>380</c:v>
                </c:pt>
                <c:pt idx="4">
                  <c:v>392.31833999999998</c:v>
                </c:pt>
                <c:pt idx="5">
                  <c:v>412.7</c:v>
                </c:pt>
                <c:pt idx="6">
                  <c:v>439.25099999999998</c:v>
                </c:pt>
                <c:pt idx="7">
                  <c:v>449.166</c:v>
                </c:pt>
                <c:pt idx="8">
                  <c:v>455.82900000000001</c:v>
                </c:pt>
                <c:pt idx="9">
                  <c:v>469.92599999999999</c:v>
                </c:pt>
                <c:pt idx="10">
                  <c:v>504.38400000000001</c:v>
                </c:pt>
                <c:pt idx="11">
                  <c:v>520.50900000000001</c:v>
                </c:pt>
                <c:pt idx="12">
                  <c:v>525.63499999999999</c:v>
                </c:pt>
                <c:pt idx="13">
                  <c:v>566.11</c:v>
                </c:pt>
                <c:pt idx="14">
                  <c:v>616.65899999999999</c:v>
                </c:pt>
                <c:pt idx="15">
                  <c:v>629.16300000000001</c:v>
                </c:pt>
                <c:pt idx="16">
                  <c:v>613.09100000000001</c:v>
                </c:pt>
                <c:pt idx="17">
                  <c:v>655.09199999999998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4862-4008-B543-BF99D962DC1C}"/>
            </c:ext>
          </c:extLst>
        </c:ser>
        <c:ser>
          <c:idx val="1"/>
          <c:order val="1"/>
          <c:tx>
            <c:strRef>
              <c:f>'11. ábra_MNB_AM'!$C$4</c:f>
              <c:strCache>
                <c:ptCount val="1"/>
                <c:pt idx="0">
                  <c:v>MNB - Mg. gazdasági szervezetek (milliárd Ft)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 b="1">
                    <a:latin typeface="Times New Roman" panose="02020603050405020304" pitchFamily="18" charset="0"/>
                    <a:cs typeface="Times New Roman" panose="02020603050405020304" pitchFamily="18" charset="0"/>
                  </a:defRPr>
                </a:pPr>
                <a:endParaRPr lang="hu-HU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'11. ábra_MNB_AM'!$Q$2:$AH$2</c:f>
              <c:strCache>
                <c:ptCount val="18"/>
                <c:pt idx="0">
                  <c:v>2019.I. </c:v>
                </c:pt>
                <c:pt idx="1">
                  <c:v>2019.II.</c:v>
                </c:pt>
                <c:pt idx="2">
                  <c:v>2019.III.</c:v>
                </c:pt>
                <c:pt idx="3">
                  <c:v>2019.IV.</c:v>
                </c:pt>
                <c:pt idx="4">
                  <c:v>2020.I.</c:v>
                </c:pt>
                <c:pt idx="5">
                  <c:v>2020.II.</c:v>
                </c:pt>
                <c:pt idx="6">
                  <c:v>2020.III.</c:v>
                </c:pt>
                <c:pt idx="7">
                  <c:v>2020.IV.</c:v>
                </c:pt>
                <c:pt idx="8">
                  <c:v>2021.I.</c:v>
                </c:pt>
                <c:pt idx="9">
                  <c:v>2021. II.</c:v>
                </c:pt>
                <c:pt idx="10">
                  <c:v>2021. III.</c:v>
                </c:pt>
                <c:pt idx="11">
                  <c:v>2021. IV.</c:v>
                </c:pt>
                <c:pt idx="12">
                  <c:v>2022.I.*</c:v>
                </c:pt>
                <c:pt idx="13">
                  <c:v>2022.II.*</c:v>
                </c:pt>
                <c:pt idx="14">
                  <c:v>2022.III.*</c:v>
                </c:pt>
                <c:pt idx="15">
                  <c:v>2022.IV.*</c:v>
                </c:pt>
                <c:pt idx="16">
                  <c:v>2023. I.*</c:v>
                </c:pt>
                <c:pt idx="17">
                  <c:v>2023. II.</c:v>
                </c:pt>
              </c:strCache>
            </c:strRef>
          </c:cat>
          <c:val>
            <c:numRef>
              <c:f>'11. ábra_MNB_AM'!$Q$4:$AH$4</c:f>
              <c:numCache>
                <c:formatCode>#\ ##0.0</c:formatCode>
                <c:ptCount val="18"/>
                <c:pt idx="0">
                  <c:v>356.20118000000002</c:v>
                </c:pt>
                <c:pt idx="1">
                  <c:v>383.27381000000003</c:v>
                </c:pt>
                <c:pt idx="2">
                  <c:v>406.90350000000001</c:v>
                </c:pt>
                <c:pt idx="3">
                  <c:v>386.73072000000002</c:v>
                </c:pt>
                <c:pt idx="4">
                  <c:v>402.71722999999997</c:v>
                </c:pt>
                <c:pt idx="5" formatCode="0.0">
                  <c:v>425.4</c:v>
                </c:pt>
                <c:pt idx="6" formatCode="0.0">
                  <c:v>458.03861000000001</c:v>
                </c:pt>
                <c:pt idx="7" formatCode="0.0">
                  <c:v>464.16309999999999</c:v>
                </c:pt>
                <c:pt idx="8">
                  <c:v>471.49290999999999</c:v>
                </c:pt>
                <c:pt idx="9">
                  <c:v>490.84996000000001</c:v>
                </c:pt>
                <c:pt idx="10">
                  <c:v>510.30318</c:v>
                </c:pt>
                <c:pt idx="11">
                  <c:v>521.46546000000001</c:v>
                </c:pt>
                <c:pt idx="12">
                  <c:v>525.40295000000003</c:v>
                </c:pt>
                <c:pt idx="13">
                  <c:v>561.93795999999998</c:v>
                </c:pt>
                <c:pt idx="14">
                  <c:v>617.71744999999999</c:v>
                </c:pt>
                <c:pt idx="15">
                  <c:v>627.44686000000002</c:v>
                </c:pt>
                <c:pt idx="16">
                  <c:v>611.14323999999999</c:v>
                </c:pt>
                <c:pt idx="17">
                  <c:v>654.19683999999995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4862-4008-B543-BF99D962DC1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81355768"/>
        <c:axId val="581356552"/>
      </c:barChart>
      <c:catAx>
        <c:axId val="58135576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/>
                </a:solidFill>
                <a:latin typeface="Times New Roman" panose="02020603050405020304" pitchFamily="18" charset="0"/>
                <a:cs typeface="Times New Roman" panose="02020603050405020304" pitchFamily="18" charset="0"/>
              </a:defRPr>
            </a:pPr>
            <a:endParaRPr lang="hu-HU"/>
          </a:p>
        </c:txPr>
        <c:crossAx val="581356552"/>
        <c:crosses val="autoZero"/>
        <c:auto val="1"/>
        <c:lblAlgn val="ctr"/>
        <c:lblOffset val="100"/>
        <c:noMultiLvlLbl val="0"/>
      </c:catAx>
      <c:valAx>
        <c:axId val="581356552"/>
        <c:scaling>
          <c:orientation val="minMax"/>
        </c:scaling>
        <c:delete val="0"/>
        <c:axPos val="l"/>
        <c:majorGridlines/>
        <c:numFmt formatCode="#\ ##0.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/>
                </a:solidFill>
                <a:latin typeface="Times New Roman" panose="02020603050405020304" pitchFamily="18" charset="0"/>
                <a:cs typeface="Times New Roman" panose="02020603050405020304" pitchFamily="18" charset="0"/>
              </a:defRPr>
            </a:pPr>
            <a:endParaRPr lang="hu-HU"/>
          </a:p>
        </c:txPr>
        <c:crossAx val="581355768"/>
        <c:crosses val="autoZero"/>
        <c:crossBetween val="between"/>
      </c:valAx>
    </c:plotArea>
    <c:legend>
      <c:legendPos val="b"/>
      <c:overlay val="0"/>
    </c:legend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hu-H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'11. ábra_MNB_AM'!$C$33</c:f>
              <c:strCache>
                <c:ptCount val="1"/>
                <c:pt idx="0">
                  <c:v>AM - ÉLIP gazdasági szervezetek (milliárd Ft)</c:v>
                </c:pt>
              </c:strCache>
            </c:strRef>
          </c:tx>
          <c:spPr>
            <a:solidFill>
              <a:srgbClr val="FFC000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 b="1">
                    <a:latin typeface="Times New Roman" panose="02020603050405020304" pitchFamily="18" charset="0"/>
                    <a:cs typeface="Times New Roman" panose="02020603050405020304" pitchFamily="18" charset="0"/>
                  </a:defRPr>
                </a:pPr>
                <a:endParaRPr lang="hu-HU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'11. ábra_MNB_AM'!$Q$32:$AH$32</c:f>
              <c:strCache>
                <c:ptCount val="18"/>
                <c:pt idx="0">
                  <c:v>2019.I. </c:v>
                </c:pt>
                <c:pt idx="1">
                  <c:v>2019.II.</c:v>
                </c:pt>
                <c:pt idx="2">
                  <c:v>2019.III.</c:v>
                </c:pt>
                <c:pt idx="3">
                  <c:v>2019.IV.</c:v>
                </c:pt>
                <c:pt idx="4">
                  <c:v>2020.I.</c:v>
                </c:pt>
                <c:pt idx="5">
                  <c:v>2020.II.</c:v>
                </c:pt>
                <c:pt idx="6">
                  <c:v>2020.III.</c:v>
                </c:pt>
                <c:pt idx="7">
                  <c:v>2020.IV.</c:v>
                </c:pt>
                <c:pt idx="8">
                  <c:v>2021.I.</c:v>
                </c:pt>
                <c:pt idx="9">
                  <c:v>2021. II.</c:v>
                </c:pt>
                <c:pt idx="10">
                  <c:v>2021. III.</c:v>
                </c:pt>
                <c:pt idx="11">
                  <c:v>2021. IV.</c:v>
                </c:pt>
                <c:pt idx="12">
                  <c:v>2022.I.*</c:v>
                </c:pt>
                <c:pt idx="13">
                  <c:v>2022.II.*</c:v>
                </c:pt>
                <c:pt idx="14">
                  <c:v>2022.III.*</c:v>
                </c:pt>
                <c:pt idx="15">
                  <c:v>2022.IV.*</c:v>
                </c:pt>
                <c:pt idx="16">
                  <c:v>2023. I.*</c:v>
                </c:pt>
                <c:pt idx="17">
                  <c:v>2023. II.</c:v>
                </c:pt>
              </c:strCache>
            </c:strRef>
          </c:cat>
          <c:val>
            <c:numRef>
              <c:f>'11. ábra_MNB_AM'!$Q$33:$AH$33</c:f>
              <c:numCache>
                <c:formatCode>#\ ##0.0</c:formatCode>
                <c:ptCount val="18"/>
                <c:pt idx="0">
                  <c:v>515.46</c:v>
                </c:pt>
                <c:pt idx="1">
                  <c:v>506.084</c:v>
                </c:pt>
                <c:pt idx="2">
                  <c:v>541.42999999999995</c:v>
                </c:pt>
                <c:pt idx="3">
                  <c:v>539.29999999999995</c:v>
                </c:pt>
                <c:pt idx="4">
                  <c:v>553.56083999999998</c:v>
                </c:pt>
                <c:pt idx="5">
                  <c:v>525</c:v>
                </c:pt>
                <c:pt idx="6">
                  <c:v>593.24400000000003</c:v>
                </c:pt>
                <c:pt idx="7">
                  <c:v>610.32000000000005</c:v>
                </c:pt>
                <c:pt idx="8">
                  <c:v>620.64099999999996</c:v>
                </c:pt>
                <c:pt idx="9">
                  <c:v>565.81200000000001</c:v>
                </c:pt>
                <c:pt idx="10">
                  <c:v>609.45500000000004</c:v>
                </c:pt>
                <c:pt idx="11">
                  <c:v>672.40599999999995</c:v>
                </c:pt>
                <c:pt idx="12">
                  <c:v>755.48900000000003</c:v>
                </c:pt>
                <c:pt idx="13">
                  <c:v>655.79499999999996</c:v>
                </c:pt>
                <c:pt idx="14">
                  <c:v>728.24800000000005</c:v>
                </c:pt>
                <c:pt idx="15">
                  <c:v>755.48900000000003</c:v>
                </c:pt>
                <c:pt idx="16">
                  <c:v>735.76400000000001</c:v>
                </c:pt>
                <c:pt idx="17">
                  <c:v>722.54499999999996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00C1-4F5F-857B-31E7089E2175}"/>
            </c:ext>
          </c:extLst>
        </c:ser>
        <c:ser>
          <c:idx val="1"/>
          <c:order val="1"/>
          <c:tx>
            <c:strRef>
              <c:f>'11. ábra_MNB_AM'!$C$34</c:f>
              <c:strCache>
                <c:ptCount val="1"/>
                <c:pt idx="0">
                  <c:v>MNB - ÉLIP gazdasági szervezetek (milliárd Ft)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 b="1">
                    <a:latin typeface="Times New Roman" panose="02020603050405020304" pitchFamily="18" charset="0"/>
                    <a:cs typeface="Times New Roman" panose="02020603050405020304" pitchFamily="18" charset="0"/>
                  </a:defRPr>
                </a:pPr>
                <a:endParaRPr lang="hu-HU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'11. ábra_MNB_AM'!$Q$32:$AH$32</c:f>
              <c:strCache>
                <c:ptCount val="18"/>
                <c:pt idx="0">
                  <c:v>2019.I. </c:v>
                </c:pt>
                <c:pt idx="1">
                  <c:v>2019.II.</c:v>
                </c:pt>
                <c:pt idx="2">
                  <c:v>2019.III.</c:v>
                </c:pt>
                <c:pt idx="3">
                  <c:v>2019.IV.</c:v>
                </c:pt>
                <c:pt idx="4">
                  <c:v>2020.I.</c:v>
                </c:pt>
                <c:pt idx="5">
                  <c:v>2020.II.</c:v>
                </c:pt>
                <c:pt idx="6">
                  <c:v>2020.III.</c:v>
                </c:pt>
                <c:pt idx="7">
                  <c:v>2020.IV.</c:v>
                </c:pt>
                <c:pt idx="8">
                  <c:v>2021.I.</c:v>
                </c:pt>
                <c:pt idx="9">
                  <c:v>2021. II.</c:v>
                </c:pt>
                <c:pt idx="10">
                  <c:v>2021. III.</c:v>
                </c:pt>
                <c:pt idx="11">
                  <c:v>2021. IV.</c:v>
                </c:pt>
                <c:pt idx="12">
                  <c:v>2022.I.*</c:v>
                </c:pt>
                <c:pt idx="13">
                  <c:v>2022.II.*</c:v>
                </c:pt>
                <c:pt idx="14">
                  <c:v>2022.III.*</c:v>
                </c:pt>
                <c:pt idx="15">
                  <c:v>2022.IV.*</c:v>
                </c:pt>
                <c:pt idx="16">
                  <c:v>2023. I.*</c:v>
                </c:pt>
                <c:pt idx="17">
                  <c:v>2023. II.</c:v>
                </c:pt>
              </c:strCache>
            </c:strRef>
          </c:cat>
          <c:val>
            <c:numRef>
              <c:f>'11. ábra_MNB_AM'!$Q$34:$AH$34</c:f>
              <c:numCache>
                <c:formatCode>#\ ##0.0</c:formatCode>
                <c:ptCount val="18"/>
                <c:pt idx="0">
                  <c:v>509.97645999999997</c:v>
                </c:pt>
                <c:pt idx="1">
                  <c:v>507.57857999999999</c:v>
                </c:pt>
                <c:pt idx="2">
                  <c:v>535.86757</c:v>
                </c:pt>
                <c:pt idx="3">
                  <c:v>535.68204000000003</c:v>
                </c:pt>
                <c:pt idx="4">
                  <c:v>546.27219000000002</c:v>
                </c:pt>
                <c:pt idx="5" formatCode="0.0">
                  <c:v>515.79999999999995</c:v>
                </c:pt>
                <c:pt idx="6" formatCode="0.0">
                  <c:v>580.46851000000004</c:v>
                </c:pt>
                <c:pt idx="7" formatCode="0.0">
                  <c:v>599.77463999999998</c:v>
                </c:pt>
                <c:pt idx="8">
                  <c:v>600.16881000000001</c:v>
                </c:pt>
                <c:pt idx="9">
                  <c:v>576.16169000000002</c:v>
                </c:pt>
                <c:pt idx="10">
                  <c:v>617.36473999999998</c:v>
                </c:pt>
                <c:pt idx="11">
                  <c:v>684.95189000000005</c:v>
                </c:pt>
                <c:pt idx="12">
                  <c:v>654.19511</c:v>
                </c:pt>
                <c:pt idx="13">
                  <c:v>655.94029</c:v>
                </c:pt>
                <c:pt idx="14">
                  <c:v>729.75048000000004</c:v>
                </c:pt>
                <c:pt idx="15">
                  <c:v>752.68416999999999</c:v>
                </c:pt>
                <c:pt idx="16">
                  <c:v>737.87010999999995</c:v>
                </c:pt>
                <c:pt idx="17">
                  <c:v>716.39517999999998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00C1-4F5F-857B-31E7089E217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65291776"/>
        <c:axId val="565300008"/>
      </c:barChart>
      <c:catAx>
        <c:axId val="56529177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>
                <a:latin typeface="Times New Roman" panose="02020603050405020304" pitchFamily="18" charset="0"/>
                <a:cs typeface="Times New Roman" panose="02020603050405020304" pitchFamily="18" charset="0"/>
              </a:defRPr>
            </a:pPr>
            <a:endParaRPr lang="hu-HU"/>
          </a:p>
        </c:txPr>
        <c:crossAx val="565300008"/>
        <c:crosses val="autoZero"/>
        <c:auto val="1"/>
        <c:lblAlgn val="ctr"/>
        <c:lblOffset val="100"/>
        <c:noMultiLvlLbl val="0"/>
      </c:catAx>
      <c:valAx>
        <c:axId val="565300008"/>
        <c:scaling>
          <c:orientation val="minMax"/>
        </c:scaling>
        <c:delete val="0"/>
        <c:axPos val="l"/>
        <c:majorGridlines/>
        <c:numFmt formatCode="#\ ##0.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/>
                </a:solidFill>
                <a:latin typeface="Times New Roman" panose="02020603050405020304" pitchFamily="18" charset="0"/>
                <a:cs typeface="Times New Roman" panose="02020603050405020304" pitchFamily="18" charset="0"/>
              </a:defRPr>
            </a:pPr>
            <a:endParaRPr lang="hu-HU"/>
          </a:p>
        </c:txPr>
        <c:crossAx val="565291776"/>
        <c:crosses val="autoZero"/>
        <c:crossBetween val="between"/>
      </c:valAx>
    </c:plotArea>
    <c:legend>
      <c:legendPos val="b"/>
      <c:overlay val="0"/>
    </c:legend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hu-H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'11.ábra_MNB_AM_English'!$C$3</c:f>
              <c:strCache>
                <c:ptCount val="1"/>
                <c:pt idx="0">
                  <c:v>MA - Economic organizations (billion HUF)</c:v>
                </c:pt>
              </c:strCache>
            </c:strRef>
          </c:tx>
          <c:spPr>
            <a:solidFill>
              <a:srgbClr val="92D050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 sz="1000" b="1">
                    <a:latin typeface="Times New Roman" panose="02020603050405020304" pitchFamily="18" charset="0"/>
                    <a:cs typeface="Times New Roman" panose="02020603050405020304" pitchFamily="18" charset="0"/>
                  </a:defRPr>
                </a:pPr>
                <a:endParaRPr lang="hu-HU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'11.ábra_MNB_AM_English'!$P$2:$AG$2</c:f>
              <c:strCache>
                <c:ptCount val="18"/>
                <c:pt idx="0">
                  <c:v>Q1 2019</c:v>
                </c:pt>
                <c:pt idx="1">
                  <c:v>Q2 2019</c:v>
                </c:pt>
                <c:pt idx="2">
                  <c:v>Q3 2019</c:v>
                </c:pt>
                <c:pt idx="3">
                  <c:v>Q4 2019</c:v>
                </c:pt>
                <c:pt idx="4">
                  <c:v>Q1 2020</c:v>
                </c:pt>
                <c:pt idx="5">
                  <c:v>Q2 2020</c:v>
                </c:pt>
                <c:pt idx="6">
                  <c:v>Q3 2020</c:v>
                </c:pt>
                <c:pt idx="7">
                  <c:v>Q4 2020</c:v>
                </c:pt>
                <c:pt idx="8">
                  <c:v>Q1 2021</c:v>
                </c:pt>
                <c:pt idx="9">
                  <c:v>Q2 2021</c:v>
                </c:pt>
                <c:pt idx="10">
                  <c:v>Q3 2021</c:v>
                </c:pt>
                <c:pt idx="11">
                  <c:v>Q4 2021</c:v>
                </c:pt>
                <c:pt idx="12">
                  <c:v>Q1 2022*</c:v>
                </c:pt>
                <c:pt idx="13">
                  <c:v>Q2 2022*</c:v>
                </c:pt>
                <c:pt idx="14">
                  <c:v>Q3 2022*</c:v>
                </c:pt>
                <c:pt idx="15">
                  <c:v>Q4 2022*</c:v>
                </c:pt>
                <c:pt idx="16">
                  <c:v>Q1 2023*</c:v>
                </c:pt>
                <c:pt idx="17">
                  <c:v>Q2 2023</c:v>
                </c:pt>
              </c:strCache>
            </c:strRef>
          </c:cat>
          <c:val>
            <c:numRef>
              <c:f>'11.ábra_MNB_AM_English'!$P$3:$AG$3</c:f>
              <c:numCache>
                <c:formatCode>#\ ##0.0</c:formatCode>
                <c:ptCount val="18"/>
                <c:pt idx="0">
                  <c:v>350.202</c:v>
                </c:pt>
                <c:pt idx="1">
                  <c:v>373.863</c:v>
                </c:pt>
                <c:pt idx="2">
                  <c:v>388.93900000000002</c:v>
                </c:pt>
                <c:pt idx="3">
                  <c:v>380</c:v>
                </c:pt>
                <c:pt idx="4">
                  <c:v>392.31833999999998</c:v>
                </c:pt>
                <c:pt idx="5">
                  <c:v>412.7</c:v>
                </c:pt>
                <c:pt idx="6">
                  <c:v>439.25099999999998</c:v>
                </c:pt>
                <c:pt idx="7">
                  <c:v>449.166</c:v>
                </c:pt>
                <c:pt idx="8">
                  <c:v>455.82900000000001</c:v>
                </c:pt>
                <c:pt idx="9">
                  <c:v>469.92599999999999</c:v>
                </c:pt>
                <c:pt idx="10">
                  <c:v>504.38400000000001</c:v>
                </c:pt>
                <c:pt idx="11">
                  <c:v>520.50900000000001</c:v>
                </c:pt>
                <c:pt idx="12">
                  <c:v>525.63499999999999</c:v>
                </c:pt>
                <c:pt idx="13">
                  <c:v>566.11</c:v>
                </c:pt>
                <c:pt idx="14">
                  <c:v>616.65899999999999</c:v>
                </c:pt>
                <c:pt idx="15">
                  <c:v>629.16300000000001</c:v>
                </c:pt>
                <c:pt idx="16">
                  <c:v>613.09100000000001</c:v>
                </c:pt>
                <c:pt idx="17">
                  <c:v>655.09199999999998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4862-4008-B543-BF99D962DC1C}"/>
            </c:ext>
          </c:extLst>
        </c:ser>
        <c:ser>
          <c:idx val="1"/>
          <c:order val="1"/>
          <c:tx>
            <c:strRef>
              <c:f>'11.ábra_MNB_AM_English'!$C$4</c:f>
              <c:strCache>
                <c:ptCount val="1"/>
                <c:pt idx="0">
                  <c:v>CBH - Economic organizations (billion HUF)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 wrap="square" lIns="38100" tIns="19050" rIns="38100" bIns="19050" anchor="ctr">
                <a:spAutoFit/>
              </a:bodyPr>
              <a:lstStyle/>
              <a:p>
                <a:pPr>
                  <a:defRPr b="1">
                    <a:latin typeface="Times New Roman" panose="02020603050405020304" pitchFamily="18" charset="0"/>
                    <a:cs typeface="Times New Roman" panose="02020603050405020304" pitchFamily="18" charset="0"/>
                  </a:defRPr>
                </a:pPr>
                <a:endParaRPr lang="hu-HU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'11.ábra_MNB_AM_English'!$P$2:$AG$2</c:f>
              <c:strCache>
                <c:ptCount val="18"/>
                <c:pt idx="0">
                  <c:v>Q1 2019</c:v>
                </c:pt>
                <c:pt idx="1">
                  <c:v>Q2 2019</c:v>
                </c:pt>
                <c:pt idx="2">
                  <c:v>Q3 2019</c:v>
                </c:pt>
                <c:pt idx="3">
                  <c:v>Q4 2019</c:v>
                </c:pt>
                <c:pt idx="4">
                  <c:v>Q1 2020</c:v>
                </c:pt>
                <c:pt idx="5">
                  <c:v>Q2 2020</c:v>
                </c:pt>
                <c:pt idx="6">
                  <c:v>Q3 2020</c:v>
                </c:pt>
                <c:pt idx="7">
                  <c:v>Q4 2020</c:v>
                </c:pt>
                <c:pt idx="8">
                  <c:v>Q1 2021</c:v>
                </c:pt>
                <c:pt idx="9">
                  <c:v>Q2 2021</c:v>
                </c:pt>
                <c:pt idx="10">
                  <c:v>Q3 2021</c:v>
                </c:pt>
                <c:pt idx="11">
                  <c:v>Q4 2021</c:v>
                </c:pt>
                <c:pt idx="12">
                  <c:v>Q1 2022*</c:v>
                </c:pt>
                <c:pt idx="13">
                  <c:v>Q2 2022*</c:v>
                </c:pt>
                <c:pt idx="14">
                  <c:v>Q3 2022*</c:v>
                </c:pt>
                <c:pt idx="15">
                  <c:v>Q4 2022*</c:v>
                </c:pt>
                <c:pt idx="16">
                  <c:v>Q1 2023*</c:v>
                </c:pt>
                <c:pt idx="17">
                  <c:v>Q2 2023</c:v>
                </c:pt>
              </c:strCache>
            </c:strRef>
          </c:cat>
          <c:val>
            <c:numRef>
              <c:f>'11.ábra_MNB_AM_English'!$P$4:$AG$4</c:f>
              <c:numCache>
                <c:formatCode>0.0</c:formatCode>
                <c:ptCount val="18"/>
                <c:pt idx="0">
                  <c:v>356.20118000000002</c:v>
                </c:pt>
                <c:pt idx="1">
                  <c:v>383.27381000000003</c:v>
                </c:pt>
                <c:pt idx="2">
                  <c:v>406.90350000000001</c:v>
                </c:pt>
                <c:pt idx="3">
                  <c:v>386.73072000000002</c:v>
                </c:pt>
                <c:pt idx="4">
                  <c:v>402.71722999999997</c:v>
                </c:pt>
                <c:pt idx="5">
                  <c:v>425.4</c:v>
                </c:pt>
                <c:pt idx="6">
                  <c:v>458.03861000000001</c:v>
                </c:pt>
                <c:pt idx="7">
                  <c:v>464.16309999999999</c:v>
                </c:pt>
                <c:pt idx="8">
                  <c:v>471.49290999999999</c:v>
                </c:pt>
                <c:pt idx="9">
                  <c:v>490.84996000000001</c:v>
                </c:pt>
                <c:pt idx="10">
                  <c:v>510.30318</c:v>
                </c:pt>
                <c:pt idx="11">
                  <c:v>521.46546000000001</c:v>
                </c:pt>
                <c:pt idx="12">
                  <c:v>525.40295000000003</c:v>
                </c:pt>
                <c:pt idx="13">
                  <c:v>561.93795999999998</c:v>
                </c:pt>
                <c:pt idx="14">
                  <c:v>617.71744999999999</c:v>
                </c:pt>
                <c:pt idx="15">
                  <c:v>627.44686000000002</c:v>
                </c:pt>
                <c:pt idx="16">
                  <c:v>611.14323999999999</c:v>
                </c:pt>
                <c:pt idx="17">
                  <c:v>654.19683999999995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E488-4866-A634-F4A340D73444}"/>
            </c:ext>
          </c:extLst>
        </c:ser>
        <c:dLbls>
          <c:dLblPos val="inBase"/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565296872"/>
        <c:axId val="565300400"/>
      </c:barChart>
      <c:catAx>
        <c:axId val="56529687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/>
                </a:solidFill>
                <a:latin typeface="Times New Roman" panose="02020603050405020304" pitchFamily="18" charset="0"/>
                <a:cs typeface="Times New Roman" panose="02020603050405020304" pitchFamily="18" charset="0"/>
              </a:defRPr>
            </a:pPr>
            <a:endParaRPr lang="hu-HU"/>
          </a:p>
        </c:txPr>
        <c:crossAx val="565300400"/>
        <c:crosses val="autoZero"/>
        <c:auto val="1"/>
        <c:lblAlgn val="ctr"/>
        <c:lblOffset val="100"/>
        <c:noMultiLvlLbl val="0"/>
      </c:catAx>
      <c:valAx>
        <c:axId val="565300400"/>
        <c:scaling>
          <c:orientation val="minMax"/>
        </c:scaling>
        <c:delete val="0"/>
        <c:axPos val="l"/>
        <c:majorGridlines/>
        <c:numFmt formatCode="#\ ##0.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/>
                </a:solidFill>
                <a:latin typeface="Times New Roman" panose="02020603050405020304" pitchFamily="18" charset="0"/>
                <a:cs typeface="Times New Roman" panose="02020603050405020304" pitchFamily="18" charset="0"/>
              </a:defRPr>
            </a:pPr>
            <a:endParaRPr lang="hu-HU"/>
          </a:p>
        </c:txPr>
        <c:crossAx val="565296872"/>
        <c:crosses val="autoZero"/>
        <c:crossBetween val="between"/>
      </c:valAx>
    </c:plotArea>
    <c:legend>
      <c:legendPos val="b"/>
      <c:overlay val="0"/>
    </c:legend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hu-H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'11.ábra_MNB_AM_English'!$C$33</c:f>
              <c:strCache>
                <c:ptCount val="1"/>
                <c:pt idx="0">
                  <c:v>MA - Economic organizations (billion HUF)</c:v>
                </c:pt>
              </c:strCache>
            </c:strRef>
          </c:tx>
          <c:spPr>
            <a:solidFill>
              <a:srgbClr val="FFC000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 b="1">
                    <a:latin typeface="Times New Roman" panose="02020603050405020304" pitchFamily="18" charset="0"/>
                    <a:cs typeface="Times New Roman" panose="02020603050405020304" pitchFamily="18" charset="0"/>
                  </a:defRPr>
                </a:pPr>
                <a:endParaRPr lang="hu-HU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'11.ábra_MNB_AM_English'!$P$32:$AG$32</c:f>
              <c:strCache>
                <c:ptCount val="18"/>
                <c:pt idx="0">
                  <c:v>Q1 2019</c:v>
                </c:pt>
                <c:pt idx="1">
                  <c:v>Q2 2019</c:v>
                </c:pt>
                <c:pt idx="2">
                  <c:v>Q3 2019</c:v>
                </c:pt>
                <c:pt idx="3">
                  <c:v>Q4 2019</c:v>
                </c:pt>
                <c:pt idx="4">
                  <c:v>Q1 2020</c:v>
                </c:pt>
                <c:pt idx="5">
                  <c:v>Q2 2020</c:v>
                </c:pt>
                <c:pt idx="6">
                  <c:v>Q3 2020</c:v>
                </c:pt>
                <c:pt idx="7">
                  <c:v>Q4 2020</c:v>
                </c:pt>
                <c:pt idx="8">
                  <c:v>Q1 2021</c:v>
                </c:pt>
                <c:pt idx="9">
                  <c:v>Q2 2021</c:v>
                </c:pt>
                <c:pt idx="10">
                  <c:v>Q3 2021</c:v>
                </c:pt>
                <c:pt idx="11">
                  <c:v>Q4 2021</c:v>
                </c:pt>
                <c:pt idx="12">
                  <c:v>Q1 2022*</c:v>
                </c:pt>
                <c:pt idx="13">
                  <c:v>Q2 2022*</c:v>
                </c:pt>
                <c:pt idx="14">
                  <c:v>Q3 2022*</c:v>
                </c:pt>
                <c:pt idx="15">
                  <c:v>Q4 2022*</c:v>
                </c:pt>
                <c:pt idx="16">
                  <c:v>Q1 2023*</c:v>
                </c:pt>
                <c:pt idx="17">
                  <c:v>Q2 2023</c:v>
                </c:pt>
              </c:strCache>
            </c:strRef>
          </c:cat>
          <c:val>
            <c:numRef>
              <c:f>'11.ábra_MNB_AM_English'!$P$33:$AG$33</c:f>
              <c:numCache>
                <c:formatCode>#\ ##0.0</c:formatCode>
                <c:ptCount val="18"/>
                <c:pt idx="0">
                  <c:v>515.46</c:v>
                </c:pt>
                <c:pt idx="1">
                  <c:v>506.084</c:v>
                </c:pt>
                <c:pt idx="2">
                  <c:v>541.42999999999995</c:v>
                </c:pt>
                <c:pt idx="3">
                  <c:v>539.29999999999995</c:v>
                </c:pt>
                <c:pt idx="4">
                  <c:v>553.56083999999998</c:v>
                </c:pt>
                <c:pt idx="5">
                  <c:v>525</c:v>
                </c:pt>
                <c:pt idx="6">
                  <c:v>593.24400000000003</c:v>
                </c:pt>
                <c:pt idx="7">
                  <c:v>610.32000000000005</c:v>
                </c:pt>
                <c:pt idx="8">
                  <c:v>620.64099999999996</c:v>
                </c:pt>
                <c:pt idx="9">
                  <c:v>565.81200000000001</c:v>
                </c:pt>
                <c:pt idx="10">
                  <c:v>609.45500000000004</c:v>
                </c:pt>
                <c:pt idx="11">
                  <c:v>672.40599999999995</c:v>
                </c:pt>
                <c:pt idx="12">
                  <c:v>755.48900000000003</c:v>
                </c:pt>
                <c:pt idx="13">
                  <c:v>655.79499999999996</c:v>
                </c:pt>
                <c:pt idx="14">
                  <c:v>728.24800000000005</c:v>
                </c:pt>
                <c:pt idx="15">
                  <c:v>755.48900000000003</c:v>
                </c:pt>
                <c:pt idx="16">
                  <c:v>735.76400000000001</c:v>
                </c:pt>
                <c:pt idx="17">
                  <c:v>722.54499999999996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00C1-4F5F-857B-31E7089E2175}"/>
            </c:ext>
          </c:extLst>
        </c:ser>
        <c:ser>
          <c:idx val="1"/>
          <c:order val="1"/>
          <c:tx>
            <c:strRef>
              <c:f>'11.ábra_MNB_AM_English'!$C$34</c:f>
              <c:strCache>
                <c:ptCount val="1"/>
                <c:pt idx="0">
                  <c:v>CBH - Economic organizations (billion HUF)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 wrap="square" lIns="38100" tIns="19050" rIns="38100" bIns="19050" anchor="ctr">
                <a:spAutoFit/>
              </a:bodyPr>
              <a:lstStyle/>
              <a:p>
                <a:pPr>
                  <a:defRPr sz="1000" b="1">
                    <a:latin typeface="Times New Roman" panose="02020603050405020304" pitchFamily="18" charset="0"/>
                    <a:cs typeface="Times New Roman" panose="02020603050405020304" pitchFamily="18" charset="0"/>
                  </a:defRPr>
                </a:pPr>
                <a:endParaRPr lang="hu-HU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'11.ábra_MNB_AM_English'!$P$32:$AG$32</c:f>
              <c:strCache>
                <c:ptCount val="18"/>
                <c:pt idx="0">
                  <c:v>Q1 2019</c:v>
                </c:pt>
                <c:pt idx="1">
                  <c:v>Q2 2019</c:v>
                </c:pt>
                <c:pt idx="2">
                  <c:v>Q3 2019</c:v>
                </c:pt>
                <c:pt idx="3">
                  <c:v>Q4 2019</c:v>
                </c:pt>
                <c:pt idx="4">
                  <c:v>Q1 2020</c:v>
                </c:pt>
                <c:pt idx="5">
                  <c:v>Q2 2020</c:v>
                </c:pt>
                <c:pt idx="6">
                  <c:v>Q3 2020</c:v>
                </c:pt>
                <c:pt idx="7">
                  <c:v>Q4 2020</c:v>
                </c:pt>
                <c:pt idx="8">
                  <c:v>Q1 2021</c:v>
                </c:pt>
                <c:pt idx="9">
                  <c:v>Q2 2021</c:v>
                </c:pt>
                <c:pt idx="10">
                  <c:v>Q3 2021</c:v>
                </c:pt>
                <c:pt idx="11">
                  <c:v>Q4 2021</c:v>
                </c:pt>
                <c:pt idx="12">
                  <c:v>Q1 2022*</c:v>
                </c:pt>
                <c:pt idx="13">
                  <c:v>Q2 2022*</c:v>
                </c:pt>
                <c:pt idx="14">
                  <c:v>Q3 2022*</c:v>
                </c:pt>
                <c:pt idx="15">
                  <c:v>Q4 2022*</c:v>
                </c:pt>
                <c:pt idx="16">
                  <c:v>Q1 2023*</c:v>
                </c:pt>
                <c:pt idx="17">
                  <c:v>Q2 2023</c:v>
                </c:pt>
              </c:strCache>
            </c:strRef>
          </c:cat>
          <c:val>
            <c:numRef>
              <c:f>'11.ábra_MNB_AM_English'!$P$34:$AG$34</c:f>
              <c:numCache>
                <c:formatCode>0.0</c:formatCode>
                <c:ptCount val="18"/>
                <c:pt idx="0">
                  <c:v>509.97645999999997</c:v>
                </c:pt>
                <c:pt idx="1">
                  <c:v>507.57857999999999</c:v>
                </c:pt>
                <c:pt idx="2">
                  <c:v>535.86757</c:v>
                </c:pt>
                <c:pt idx="3">
                  <c:v>535.68204000000003</c:v>
                </c:pt>
                <c:pt idx="4">
                  <c:v>546.27219000000002</c:v>
                </c:pt>
                <c:pt idx="5">
                  <c:v>515.79999999999995</c:v>
                </c:pt>
                <c:pt idx="6">
                  <c:v>580.46851000000004</c:v>
                </c:pt>
                <c:pt idx="7">
                  <c:v>599.77463999999998</c:v>
                </c:pt>
                <c:pt idx="8">
                  <c:v>600.16881000000001</c:v>
                </c:pt>
                <c:pt idx="9">
                  <c:v>576.16169000000002</c:v>
                </c:pt>
                <c:pt idx="10">
                  <c:v>617.36473999999998</c:v>
                </c:pt>
                <c:pt idx="11">
                  <c:v>684.95189000000005</c:v>
                </c:pt>
                <c:pt idx="12">
                  <c:v>654.19511</c:v>
                </c:pt>
                <c:pt idx="13">
                  <c:v>655.94029</c:v>
                </c:pt>
                <c:pt idx="14">
                  <c:v>729.75048000000004</c:v>
                </c:pt>
                <c:pt idx="15">
                  <c:v>752.68416999999999</c:v>
                </c:pt>
                <c:pt idx="16">
                  <c:v>737.87010999999995</c:v>
                </c:pt>
                <c:pt idx="17">
                  <c:v>716.39517999999998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BF7F-4CD7-A5C6-D1AAC34A9A7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65289816"/>
        <c:axId val="565300792"/>
      </c:barChart>
      <c:catAx>
        <c:axId val="56528981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>
                <a:latin typeface="Times New Roman" panose="02020603050405020304" pitchFamily="18" charset="0"/>
                <a:cs typeface="Times New Roman" panose="02020603050405020304" pitchFamily="18" charset="0"/>
              </a:defRPr>
            </a:pPr>
            <a:endParaRPr lang="hu-HU"/>
          </a:p>
        </c:txPr>
        <c:crossAx val="565300792"/>
        <c:crosses val="autoZero"/>
        <c:auto val="1"/>
        <c:lblAlgn val="ctr"/>
        <c:lblOffset val="100"/>
        <c:noMultiLvlLbl val="0"/>
      </c:catAx>
      <c:valAx>
        <c:axId val="565300792"/>
        <c:scaling>
          <c:orientation val="minMax"/>
        </c:scaling>
        <c:delete val="0"/>
        <c:axPos val="l"/>
        <c:majorGridlines/>
        <c:numFmt formatCode="#\ ##0.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/>
                </a:solidFill>
                <a:latin typeface="Times New Roman" panose="02020603050405020304" pitchFamily="18" charset="0"/>
                <a:cs typeface="Times New Roman" panose="02020603050405020304" pitchFamily="18" charset="0"/>
              </a:defRPr>
            </a:pPr>
            <a:endParaRPr lang="hu-HU"/>
          </a:p>
        </c:txPr>
        <c:crossAx val="565289816"/>
        <c:crosses val="autoZero"/>
        <c:crossBetween val="between"/>
      </c:valAx>
    </c:plotArea>
    <c:legend>
      <c:legendPos val="b"/>
      <c:overlay val="0"/>
    </c:legend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hu-H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dLbls>
            <c:spPr>
              <a:noFill/>
              <a:ln>
                <a:noFill/>
              </a:ln>
              <a:effectLst/>
            </c:sp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'MG ágazatok szerint'!$S$2:$S$9</c:f>
              <c:strCache>
                <c:ptCount val="8"/>
                <c:pt idx="0">
                  <c:v>Szántóföldi növénytermesztés</c:v>
                </c:pt>
                <c:pt idx="1">
                  <c:v>Állattenyésztés, ebből:</c:v>
                </c:pt>
                <c:pt idx="2">
                  <c:v>Egyéb</c:v>
                </c:pt>
                <c:pt idx="3">
                  <c:v>Kertészet, ebből:</c:v>
                </c:pt>
                <c:pt idx="4">
                  <c:v>szarvasmarha </c:v>
                </c:pt>
                <c:pt idx="5">
                  <c:v>baromfi </c:v>
                </c:pt>
                <c:pt idx="6">
                  <c:v>zöldségtermelés </c:v>
                </c:pt>
                <c:pt idx="7">
                  <c:v>sertés</c:v>
                </c:pt>
              </c:strCache>
            </c:strRef>
          </c:cat>
          <c:val>
            <c:numRef>
              <c:f>'MG ágazatok szerint'!$T$2:$T$9</c:f>
              <c:numCache>
                <c:formatCode>_-* #\ ##0\ _F_t_-;\-* #\ ##0\ _F_t_-;_-* "-"??\ _F_t_-;_-@_-</c:formatCode>
                <c:ptCount val="8"/>
                <c:pt idx="0">
                  <c:v>237.679</c:v>
                </c:pt>
                <c:pt idx="1">
                  <c:v>67.349999999999994</c:v>
                </c:pt>
                <c:pt idx="2">
                  <c:v>45.868000000000002</c:v>
                </c:pt>
                <c:pt idx="3">
                  <c:v>45.344999999999999</c:v>
                </c:pt>
                <c:pt idx="4">
                  <c:v>24.486000000000001</c:v>
                </c:pt>
                <c:pt idx="5">
                  <c:v>19.195</c:v>
                </c:pt>
                <c:pt idx="6">
                  <c:v>16.265999999999998</c:v>
                </c:pt>
                <c:pt idx="7">
                  <c:v>11.798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048F-471C-BCD0-D8FB98812C14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565289032"/>
        <c:axId val="565292560"/>
      </c:barChart>
      <c:catAx>
        <c:axId val="56528903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565292560"/>
        <c:crosses val="autoZero"/>
        <c:auto val="1"/>
        <c:lblAlgn val="ctr"/>
        <c:lblOffset val="100"/>
        <c:noMultiLvlLbl val="0"/>
      </c:catAx>
      <c:valAx>
        <c:axId val="565292560"/>
        <c:scaling>
          <c:orientation val="minMax"/>
        </c:scaling>
        <c:delete val="0"/>
        <c:axPos val="l"/>
        <c:majorGridlines/>
        <c:numFmt formatCode="_-* #\ ##0\ _F_t_-;\-* #\ ##0\ _F_t_-;_-* &quot;-&quot;??\ _F_t_-;_-@_-" sourceLinked="1"/>
        <c:majorTickMark val="out"/>
        <c:minorTickMark val="none"/>
        <c:tickLblPos val="nextTo"/>
        <c:crossAx val="565289032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txPr>
    <a:bodyPr/>
    <a:lstStyle/>
    <a:p>
      <a:pPr>
        <a:defRPr>
          <a:solidFill>
            <a:schemeClr val="tx1"/>
          </a:solidFill>
          <a:latin typeface="Times New Roman" panose="02020603050405020304" pitchFamily="18" charset="0"/>
          <a:cs typeface="Times New Roman" panose="02020603050405020304" pitchFamily="18" charset="0"/>
        </a:defRPr>
      </a:pPr>
      <a:endParaRPr lang="hu-HU"/>
    </a:p>
  </c:txPr>
  <c:printSettings>
    <c:headerFooter/>
    <c:pageMargins b="0.75" l="0.7" r="0.7" t="0.75" header="0.3" footer="0.3"/>
    <c:pageSetup/>
  </c:printSettings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hu-H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dLbls>
            <c:spPr>
              <a:noFill/>
              <a:ln>
                <a:noFill/>
              </a:ln>
              <a:effectLst/>
            </c:sp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'ÉLIP ágazatok'!$O$2:$O$16</c:f>
              <c:strCache>
                <c:ptCount val="15"/>
                <c:pt idx="0">
                  <c:v>Egyéb élelmiszeripar</c:v>
                </c:pt>
                <c:pt idx="1">
                  <c:v>Egyéb gyümölcs-, zöldség feldolgozás, tartósítás</c:v>
                </c:pt>
                <c:pt idx="2">
                  <c:v>Malomipari termék gyártása</c:v>
                </c:pt>
                <c:pt idx="3">
                  <c:v>Húsfeldolgozás, -tartósítás</c:v>
                </c:pt>
                <c:pt idx="4">
                  <c:v>Haszonállat eledel gyártása</c:v>
                </c:pt>
                <c:pt idx="5">
                  <c:v>Olaj gyártása</c:v>
                </c:pt>
                <c:pt idx="6">
                  <c:v>Tejtermék gyártása</c:v>
                </c:pt>
                <c:pt idx="7">
                  <c:v>Baromfihús feldolgozása, tartósítása</c:v>
                </c:pt>
                <c:pt idx="8">
                  <c:v>Hobbiállat eledel gyártása</c:v>
                </c:pt>
                <c:pt idx="9">
                  <c:v>Szőlőbor termelése </c:v>
                </c:pt>
                <c:pt idx="10">
                  <c:v>Kenyér, friss pékáru gyártása</c:v>
                </c:pt>
                <c:pt idx="11">
                  <c:v>Hús-, baromfihús készítmény gyártása</c:v>
                </c:pt>
                <c:pt idx="12">
                  <c:v>Tésztafélék gyártása</c:v>
                </c:pt>
                <c:pt idx="13">
                  <c:v>Tartósított lisztesáru gyártása</c:v>
                </c:pt>
                <c:pt idx="14">
                  <c:v>Gyümölcs-, zöldséglé gyártása</c:v>
                </c:pt>
              </c:strCache>
            </c:strRef>
          </c:cat>
          <c:val>
            <c:numRef>
              <c:f>'ÉLIP ágazatok'!$P$2:$P$16</c:f>
              <c:numCache>
                <c:formatCode>#,##0</c:formatCode>
                <c:ptCount val="15"/>
                <c:pt idx="0">
                  <c:v>38.030999999999999</c:v>
                </c:pt>
                <c:pt idx="1">
                  <c:v>16.475999999999999</c:v>
                </c:pt>
                <c:pt idx="2">
                  <c:v>13.847</c:v>
                </c:pt>
                <c:pt idx="3">
                  <c:v>10.098000000000001</c:v>
                </c:pt>
                <c:pt idx="4">
                  <c:v>8.9619999999999997</c:v>
                </c:pt>
                <c:pt idx="5">
                  <c:v>8.827</c:v>
                </c:pt>
                <c:pt idx="6">
                  <c:v>8.1020000000000003</c:v>
                </c:pt>
                <c:pt idx="7">
                  <c:v>5.0380000000000003</c:v>
                </c:pt>
                <c:pt idx="8">
                  <c:v>3.47</c:v>
                </c:pt>
                <c:pt idx="9">
                  <c:v>3.02</c:v>
                </c:pt>
                <c:pt idx="10">
                  <c:v>2.6749999999999998</c:v>
                </c:pt>
                <c:pt idx="11">
                  <c:v>1.532</c:v>
                </c:pt>
                <c:pt idx="12">
                  <c:v>1.3180000000000001</c:v>
                </c:pt>
                <c:pt idx="13">
                  <c:v>1.264</c:v>
                </c:pt>
                <c:pt idx="14">
                  <c:v>0.223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E915-4D37-93CE-02BCC0988EF6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565301184"/>
        <c:axId val="565290992"/>
      </c:barChart>
      <c:catAx>
        <c:axId val="565301184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565290992"/>
        <c:crosses val="autoZero"/>
        <c:auto val="1"/>
        <c:lblAlgn val="ctr"/>
        <c:lblOffset val="100"/>
        <c:noMultiLvlLbl val="0"/>
      </c:catAx>
      <c:valAx>
        <c:axId val="565290992"/>
        <c:scaling>
          <c:orientation val="minMax"/>
        </c:scaling>
        <c:delete val="0"/>
        <c:axPos val="l"/>
        <c:majorGridlines/>
        <c:numFmt formatCode="#,##0" sourceLinked="1"/>
        <c:majorTickMark val="out"/>
        <c:minorTickMark val="none"/>
        <c:tickLblPos val="nextTo"/>
        <c:crossAx val="565301184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txPr>
    <a:bodyPr/>
    <a:lstStyle/>
    <a:p>
      <a:pPr>
        <a:defRPr>
          <a:latin typeface="Times New Roman" panose="02020603050405020304" pitchFamily="18" charset="0"/>
          <a:cs typeface="Times New Roman" panose="02020603050405020304" pitchFamily="18" charset="0"/>
        </a:defRPr>
      </a:pPr>
      <a:endParaRPr lang="hu-HU"/>
    </a:p>
  </c:txPr>
  <c:printSettings>
    <c:headerFooter/>
    <c:pageMargins b="0.75" l="0.7" r="0.7" t="0.75" header="0.3" footer="0.3"/>
    <c:pageSetup/>
  </c:printSettings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hu-H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Idősorok_ábrák_Állományi!$BI$3</c:f>
              <c:strCache>
                <c:ptCount val="1"/>
                <c:pt idx="0">
                  <c:v>Egyéni gazdaságok (millió Ft)</c:v>
                </c:pt>
              </c:strCache>
            </c:strRef>
          </c:tx>
          <c:spPr>
            <a:solidFill>
              <a:srgbClr val="FFC000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 sz="800" b="1">
                    <a:latin typeface="Times New Roman" panose="02020603050405020304" pitchFamily="18" charset="0"/>
                    <a:cs typeface="Times New Roman" panose="02020603050405020304" pitchFamily="18" charset="0"/>
                  </a:defRPr>
                </a:pPr>
                <a:endParaRPr lang="hu-HU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Idősorok_ábrák_Állományi!$BJ$2:$CE$2</c:f>
              <c:strCache>
                <c:ptCount val="22"/>
                <c:pt idx="0">
                  <c:v>2016. I. </c:v>
                </c:pt>
                <c:pt idx="1">
                  <c:v>2016.II.</c:v>
                </c:pt>
                <c:pt idx="2">
                  <c:v>2016.III.</c:v>
                </c:pt>
                <c:pt idx="3">
                  <c:v>2016.IV.</c:v>
                </c:pt>
                <c:pt idx="4">
                  <c:v>2017.I.</c:v>
                </c:pt>
                <c:pt idx="5">
                  <c:v>2017.II.</c:v>
                </c:pt>
                <c:pt idx="6">
                  <c:v>2017.III.</c:v>
                </c:pt>
                <c:pt idx="7">
                  <c:v>2017.IV.</c:v>
                </c:pt>
                <c:pt idx="8">
                  <c:v>2018.I.R</c:v>
                </c:pt>
                <c:pt idx="9">
                  <c:v>2018.I.Ú</c:v>
                </c:pt>
                <c:pt idx="10">
                  <c:v>2018.II.</c:v>
                </c:pt>
                <c:pt idx="11">
                  <c:v>2018.III.</c:v>
                </c:pt>
                <c:pt idx="12">
                  <c:v>2018.IV.</c:v>
                </c:pt>
                <c:pt idx="13">
                  <c:v>2019.I. </c:v>
                </c:pt>
                <c:pt idx="14">
                  <c:v>2019.II.</c:v>
                </c:pt>
                <c:pt idx="15">
                  <c:v>2019.III.</c:v>
                </c:pt>
                <c:pt idx="16">
                  <c:v>2019.IV.</c:v>
                </c:pt>
                <c:pt idx="17">
                  <c:v>2020.I.</c:v>
                </c:pt>
                <c:pt idx="18">
                  <c:v>2020.II.</c:v>
                </c:pt>
                <c:pt idx="19">
                  <c:v>2020.III.</c:v>
                </c:pt>
                <c:pt idx="20">
                  <c:v>2020.IV.</c:v>
                </c:pt>
                <c:pt idx="21">
                  <c:v>2021.I.</c:v>
                </c:pt>
              </c:strCache>
            </c:strRef>
          </c:cat>
          <c:val>
            <c:numRef>
              <c:f>Idősorok_ábrák_Állományi!$BJ$3:$CE$3</c:f>
              <c:numCache>
                <c:formatCode>#\ ##0.0</c:formatCode>
                <c:ptCount val="22"/>
                <c:pt idx="0">
                  <c:v>108.687</c:v>
                </c:pt>
                <c:pt idx="1">
                  <c:v>122.26600000000001</c:v>
                </c:pt>
                <c:pt idx="2">
                  <c:v>159.07900000000001</c:v>
                </c:pt>
                <c:pt idx="3">
                  <c:v>252.637</c:v>
                </c:pt>
                <c:pt idx="4">
                  <c:v>292.25400000000002</c:v>
                </c:pt>
                <c:pt idx="5">
                  <c:v>314.29599999999999</c:v>
                </c:pt>
                <c:pt idx="6">
                  <c:v>329.29700000000003</c:v>
                </c:pt>
                <c:pt idx="7">
                  <c:v>305.03100000000001</c:v>
                </c:pt>
                <c:pt idx="8">
                  <c:v>296.19799999999998</c:v>
                </c:pt>
                <c:pt idx="9">
                  <c:v>317.654</c:v>
                </c:pt>
                <c:pt idx="10">
                  <c:v>330.40300000000002</c:v>
                </c:pt>
                <c:pt idx="11">
                  <c:v>336.233</c:v>
                </c:pt>
                <c:pt idx="12">
                  <c:v>309.92200000000003</c:v>
                </c:pt>
                <c:pt idx="13">
                  <c:v>334.36</c:v>
                </c:pt>
                <c:pt idx="14">
                  <c:v>348.75</c:v>
                </c:pt>
                <c:pt idx="15">
                  <c:v>357.57799999999997</c:v>
                </c:pt>
                <c:pt idx="16">
                  <c:v>348.85700000000003</c:v>
                </c:pt>
                <c:pt idx="17">
                  <c:v>340.81373000000002</c:v>
                </c:pt>
                <c:pt idx="18">
                  <c:v>362.94799999999998</c:v>
                </c:pt>
                <c:pt idx="19">
                  <c:v>373.26299999999998</c:v>
                </c:pt>
                <c:pt idx="20">
                  <c:v>365.75700000000001</c:v>
                </c:pt>
                <c:pt idx="21">
                  <c:v>362.28800000000001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30E0-4958-B8CE-50A0B8DEA10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65295696"/>
        <c:axId val="565294520"/>
      </c:barChart>
      <c:catAx>
        <c:axId val="56529569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/>
                </a:solidFill>
                <a:latin typeface="Times New Roman" panose="02020603050405020304" pitchFamily="18" charset="0"/>
                <a:cs typeface="Times New Roman" panose="02020603050405020304" pitchFamily="18" charset="0"/>
              </a:defRPr>
            </a:pPr>
            <a:endParaRPr lang="hu-HU"/>
          </a:p>
        </c:txPr>
        <c:crossAx val="565294520"/>
        <c:crosses val="autoZero"/>
        <c:auto val="1"/>
        <c:lblAlgn val="ctr"/>
        <c:lblOffset val="100"/>
        <c:noMultiLvlLbl val="0"/>
      </c:catAx>
      <c:valAx>
        <c:axId val="565294520"/>
        <c:scaling>
          <c:orientation val="minMax"/>
        </c:scaling>
        <c:delete val="0"/>
        <c:axPos val="l"/>
        <c:majorGridlines/>
        <c:numFmt formatCode="#\ ##0.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/>
                </a:solidFill>
                <a:latin typeface="Times New Roman" panose="02020603050405020304" pitchFamily="18" charset="0"/>
                <a:cs typeface="Times New Roman" panose="02020603050405020304" pitchFamily="18" charset="0"/>
              </a:defRPr>
            </a:pPr>
            <a:endParaRPr lang="hu-HU"/>
          </a:p>
        </c:txPr>
        <c:crossAx val="565295696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hu-H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Idősorok_ábrák_Állományi!$BI$25</c:f>
              <c:strCache>
                <c:ptCount val="1"/>
                <c:pt idx="0">
                  <c:v>Gazdasági szervezetek (millió Ft)</c:v>
                </c:pt>
              </c:strCache>
            </c:strRef>
          </c:tx>
          <c:spPr>
            <a:solidFill>
              <a:srgbClr val="FFC000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 sz="800" b="1">
                    <a:latin typeface="Times New Roman" panose="02020603050405020304" pitchFamily="18" charset="0"/>
                    <a:cs typeface="Times New Roman" panose="02020603050405020304" pitchFamily="18" charset="0"/>
                  </a:defRPr>
                </a:pPr>
                <a:endParaRPr lang="hu-HU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Idősorok_ábrák_Állományi!$BJ$24:$CE$24</c:f>
              <c:strCache>
                <c:ptCount val="22"/>
                <c:pt idx="0">
                  <c:v>2016. I. </c:v>
                </c:pt>
                <c:pt idx="1">
                  <c:v>2016.II.</c:v>
                </c:pt>
                <c:pt idx="2">
                  <c:v>2016.III.</c:v>
                </c:pt>
                <c:pt idx="3">
                  <c:v>2016.IV.</c:v>
                </c:pt>
                <c:pt idx="4">
                  <c:v>2017.I.</c:v>
                </c:pt>
                <c:pt idx="5">
                  <c:v>2017.II.</c:v>
                </c:pt>
                <c:pt idx="6">
                  <c:v>2017.III.</c:v>
                </c:pt>
                <c:pt idx="7">
                  <c:v>2017.IV.</c:v>
                </c:pt>
                <c:pt idx="8">
                  <c:v>2018.I.R</c:v>
                </c:pt>
                <c:pt idx="9">
                  <c:v>2018.I.Ú</c:v>
                </c:pt>
                <c:pt idx="10">
                  <c:v>2018.II.</c:v>
                </c:pt>
                <c:pt idx="11">
                  <c:v>2018.III.</c:v>
                </c:pt>
                <c:pt idx="12">
                  <c:v>2018.IV.</c:v>
                </c:pt>
                <c:pt idx="13">
                  <c:v>2019.I. </c:v>
                </c:pt>
                <c:pt idx="14">
                  <c:v>2019.II.</c:v>
                </c:pt>
                <c:pt idx="15">
                  <c:v>2019.III.</c:v>
                </c:pt>
                <c:pt idx="16">
                  <c:v>2019.IV.</c:v>
                </c:pt>
                <c:pt idx="17">
                  <c:v>2020.I.</c:v>
                </c:pt>
                <c:pt idx="18">
                  <c:v>2020.II.</c:v>
                </c:pt>
                <c:pt idx="19">
                  <c:v>2020.III.</c:v>
                </c:pt>
                <c:pt idx="20">
                  <c:v>2020.IV.</c:v>
                </c:pt>
                <c:pt idx="21">
                  <c:v>2021.I.</c:v>
                </c:pt>
              </c:strCache>
            </c:strRef>
          </c:cat>
          <c:val>
            <c:numRef>
              <c:f>Idősorok_ábrák_Állományi!$BJ$25:$CE$25</c:f>
              <c:numCache>
                <c:formatCode>#\ ##0.0</c:formatCode>
                <c:ptCount val="22"/>
                <c:pt idx="0">
                  <c:v>332.54899999999998</c:v>
                </c:pt>
                <c:pt idx="1">
                  <c:v>336.06400000000002</c:v>
                </c:pt>
                <c:pt idx="2">
                  <c:v>349.69499999999999</c:v>
                </c:pt>
                <c:pt idx="3">
                  <c:v>310.613</c:v>
                </c:pt>
                <c:pt idx="4">
                  <c:v>312.786</c:v>
                </c:pt>
                <c:pt idx="5">
                  <c:v>308.18400000000003</c:v>
                </c:pt>
                <c:pt idx="6">
                  <c:v>315.42700000000002</c:v>
                </c:pt>
                <c:pt idx="7">
                  <c:v>305.62799999999999</c:v>
                </c:pt>
                <c:pt idx="8">
                  <c:v>284.17</c:v>
                </c:pt>
                <c:pt idx="9">
                  <c:v>301.46699999999998</c:v>
                </c:pt>
                <c:pt idx="10">
                  <c:v>314.30500000000001</c:v>
                </c:pt>
                <c:pt idx="11">
                  <c:v>331.17099999999999</c:v>
                </c:pt>
                <c:pt idx="12">
                  <c:v>314.52800000000002</c:v>
                </c:pt>
                <c:pt idx="13">
                  <c:v>350.202</c:v>
                </c:pt>
                <c:pt idx="14">
                  <c:v>373.863</c:v>
                </c:pt>
                <c:pt idx="15">
                  <c:v>388.93900000000002</c:v>
                </c:pt>
                <c:pt idx="16">
                  <c:v>380</c:v>
                </c:pt>
                <c:pt idx="17">
                  <c:v>392.31833999999998</c:v>
                </c:pt>
                <c:pt idx="18">
                  <c:v>412.68099999999998</c:v>
                </c:pt>
                <c:pt idx="19">
                  <c:v>439.25099999999998</c:v>
                </c:pt>
                <c:pt idx="20">
                  <c:v>449.166</c:v>
                </c:pt>
                <c:pt idx="21">
                  <c:v>452.18099999999998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647A-49F5-B901-C337CFE51C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65292168"/>
        <c:axId val="565293736"/>
      </c:barChart>
      <c:catAx>
        <c:axId val="565292168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/>
                </a:solidFill>
                <a:latin typeface="Times New Roman" panose="02020603050405020304" pitchFamily="18" charset="0"/>
                <a:cs typeface="Times New Roman" panose="02020603050405020304" pitchFamily="18" charset="0"/>
              </a:defRPr>
            </a:pPr>
            <a:endParaRPr lang="hu-HU"/>
          </a:p>
        </c:txPr>
        <c:crossAx val="565293736"/>
        <c:crosses val="autoZero"/>
        <c:auto val="1"/>
        <c:lblAlgn val="ctr"/>
        <c:lblOffset val="100"/>
        <c:noMultiLvlLbl val="0"/>
      </c:catAx>
      <c:valAx>
        <c:axId val="565293736"/>
        <c:scaling>
          <c:orientation val="minMax"/>
        </c:scaling>
        <c:delete val="0"/>
        <c:axPos val="l"/>
        <c:majorGridlines/>
        <c:numFmt formatCode="#\ ##0.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/>
                </a:solidFill>
                <a:latin typeface="Times New Roman" panose="02020603050405020304" pitchFamily="18" charset="0"/>
                <a:cs typeface="Times New Roman" panose="02020603050405020304" pitchFamily="18" charset="0"/>
              </a:defRPr>
            </a:pPr>
            <a:endParaRPr lang="hu-HU"/>
          </a:p>
        </c:txPr>
        <c:crossAx val="565292168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hu-H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Idősorok_ábrák_Állományi!$J$36</c:f>
              <c:strCache>
                <c:ptCount val="1"/>
                <c:pt idx="0">
                  <c:v>Mgi hitel összes (millió forint)</c:v>
                </c:pt>
              </c:strCache>
            </c:strRef>
          </c:tx>
          <c:spPr>
            <a:solidFill>
              <a:schemeClr val="accent3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 b="1">
                    <a:latin typeface="Times New Roman" panose="02020603050405020304" pitchFamily="18" charset="0"/>
                    <a:cs typeface="Times New Roman" panose="02020603050405020304" pitchFamily="18" charset="0"/>
                  </a:defRPr>
                </a:pPr>
                <a:endParaRPr lang="hu-HU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Idősorok_ábrák_Állományi!$K$35:$AF$35</c:f>
              <c:strCache>
                <c:ptCount val="22"/>
                <c:pt idx="0">
                  <c:v>2016. I. </c:v>
                </c:pt>
                <c:pt idx="1">
                  <c:v>2016.II.</c:v>
                </c:pt>
                <c:pt idx="2">
                  <c:v>2016.III.</c:v>
                </c:pt>
                <c:pt idx="3">
                  <c:v>2016.IV.</c:v>
                </c:pt>
                <c:pt idx="4">
                  <c:v>2017.I.</c:v>
                </c:pt>
                <c:pt idx="5">
                  <c:v>2017.II.</c:v>
                </c:pt>
                <c:pt idx="6">
                  <c:v>2017.III.</c:v>
                </c:pt>
                <c:pt idx="7">
                  <c:v>2017.IV.</c:v>
                </c:pt>
                <c:pt idx="8">
                  <c:v>2018.I.</c:v>
                </c:pt>
                <c:pt idx="9">
                  <c:v>2018.I.Ú</c:v>
                </c:pt>
                <c:pt idx="10">
                  <c:v>2018.II.</c:v>
                </c:pt>
                <c:pt idx="11">
                  <c:v>2018.III.</c:v>
                </c:pt>
                <c:pt idx="12">
                  <c:v>2018.IV.</c:v>
                </c:pt>
                <c:pt idx="13">
                  <c:v>2019.I.</c:v>
                </c:pt>
                <c:pt idx="14">
                  <c:v>2019.II.</c:v>
                </c:pt>
                <c:pt idx="15">
                  <c:v>2019.III.</c:v>
                </c:pt>
                <c:pt idx="16">
                  <c:v>2019.IV.</c:v>
                </c:pt>
                <c:pt idx="17">
                  <c:v>2020.I.</c:v>
                </c:pt>
                <c:pt idx="18">
                  <c:v>2020.II.</c:v>
                </c:pt>
                <c:pt idx="19">
                  <c:v>2020.III.</c:v>
                </c:pt>
                <c:pt idx="20">
                  <c:v>2020.IV.</c:v>
                </c:pt>
                <c:pt idx="21">
                  <c:v>2021. I.</c:v>
                </c:pt>
              </c:strCache>
            </c:strRef>
          </c:cat>
          <c:val>
            <c:numRef>
              <c:f>Idősorok_ábrák_Állományi!$K$36:$AF$36</c:f>
              <c:numCache>
                <c:formatCode>#,##0</c:formatCode>
                <c:ptCount val="22"/>
                <c:pt idx="0">
                  <c:v>441236</c:v>
                </c:pt>
                <c:pt idx="1">
                  <c:v>458330</c:v>
                </c:pt>
                <c:pt idx="2">
                  <c:v>508774</c:v>
                </c:pt>
                <c:pt idx="3">
                  <c:v>563250</c:v>
                </c:pt>
                <c:pt idx="4">
                  <c:v>605040</c:v>
                </c:pt>
                <c:pt idx="5">
                  <c:v>622480</c:v>
                </c:pt>
                <c:pt idx="6">
                  <c:v>644724</c:v>
                </c:pt>
                <c:pt idx="7">
                  <c:v>610659</c:v>
                </c:pt>
                <c:pt idx="8">
                  <c:v>580368</c:v>
                </c:pt>
                <c:pt idx="9">
                  <c:v>619121</c:v>
                </c:pt>
                <c:pt idx="10">
                  <c:v>644708</c:v>
                </c:pt>
                <c:pt idx="11">
                  <c:v>667404</c:v>
                </c:pt>
                <c:pt idx="12">
                  <c:v>624450</c:v>
                </c:pt>
                <c:pt idx="13">
                  <c:v>684562</c:v>
                </c:pt>
                <c:pt idx="14">
                  <c:v>722613</c:v>
                </c:pt>
                <c:pt idx="15">
                  <c:v>746517</c:v>
                </c:pt>
                <c:pt idx="16">
                  <c:v>728857</c:v>
                </c:pt>
                <c:pt idx="17">
                  <c:v>733132.07</c:v>
                </c:pt>
                <c:pt idx="18">
                  <c:v>775629</c:v>
                </c:pt>
                <c:pt idx="19">
                  <c:v>812514</c:v>
                </c:pt>
                <c:pt idx="20">
                  <c:v>814923</c:v>
                </c:pt>
                <c:pt idx="21">
                  <c:v>814469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99F3-440E-87D7-964FD16704DD}"/>
            </c:ext>
          </c:extLst>
        </c:ser>
        <c:ser>
          <c:idx val="1"/>
          <c:order val="1"/>
          <c:tx>
            <c:strRef>
              <c:f>Idősorok_ábrák_Állományi!$J$37</c:f>
              <c:strCache>
                <c:ptCount val="1"/>
                <c:pt idx="0">
                  <c:v>Élip hitel összes (millió forint)</c:v>
                </c:pt>
              </c:strCache>
            </c:strRef>
          </c:tx>
          <c:spPr>
            <a:solidFill>
              <a:schemeClr val="accent1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 b="1">
                    <a:latin typeface="Times New Roman" panose="02020603050405020304" pitchFamily="18" charset="0"/>
                    <a:cs typeface="Times New Roman" panose="02020603050405020304" pitchFamily="18" charset="0"/>
                  </a:defRPr>
                </a:pPr>
                <a:endParaRPr lang="hu-HU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Idősorok_ábrák_Állományi!$K$35:$AF$35</c:f>
              <c:strCache>
                <c:ptCount val="22"/>
                <c:pt idx="0">
                  <c:v>2016. I. </c:v>
                </c:pt>
                <c:pt idx="1">
                  <c:v>2016.II.</c:v>
                </c:pt>
                <c:pt idx="2">
                  <c:v>2016.III.</c:v>
                </c:pt>
                <c:pt idx="3">
                  <c:v>2016.IV.</c:v>
                </c:pt>
                <c:pt idx="4">
                  <c:v>2017.I.</c:v>
                </c:pt>
                <c:pt idx="5">
                  <c:v>2017.II.</c:v>
                </c:pt>
                <c:pt idx="6">
                  <c:v>2017.III.</c:v>
                </c:pt>
                <c:pt idx="7">
                  <c:v>2017.IV.</c:v>
                </c:pt>
                <c:pt idx="8">
                  <c:v>2018.I.</c:v>
                </c:pt>
                <c:pt idx="9">
                  <c:v>2018.I.Ú</c:v>
                </c:pt>
                <c:pt idx="10">
                  <c:v>2018.II.</c:v>
                </c:pt>
                <c:pt idx="11">
                  <c:v>2018.III.</c:v>
                </c:pt>
                <c:pt idx="12">
                  <c:v>2018.IV.</c:v>
                </c:pt>
                <c:pt idx="13">
                  <c:v>2019.I.</c:v>
                </c:pt>
                <c:pt idx="14">
                  <c:v>2019.II.</c:v>
                </c:pt>
                <c:pt idx="15">
                  <c:v>2019.III.</c:v>
                </c:pt>
                <c:pt idx="16">
                  <c:v>2019.IV.</c:v>
                </c:pt>
                <c:pt idx="17">
                  <c:v>2020.I.</c:v>
                </c:pt>
                <c:pt idx="18">
                  <c:v>2020.II.</c:v>
                </c:pt>
                <c:pt idx="19">
                  <c:v>2020.III.</c:v>
                </c:pt>
                <c:pt idx="20">
                  <c:v>2020.IV.</c:v>
                </c:pt>
                <c:pt idx="21">
                  <c:v>2021. I.</c:v>
                </c:pt>
              </c:strCache>
            </c:strRef>
          </c:cat>
          <c:val>
            <c:numRef>
              <c:f>Idősorok_ábrák_Állományi!$K$37:$AF$37</c:f>
              <c:numCache>
                <c:formatCode>#,##0</c:formatCode>
                <c:ptCount val="22"/>
                <c:pt idx="0">
                  <c:v>383821</c:v>
                </c:pt>
                <c:pt idx="1">
                  <c:v>389874</c:v>
                </c:pt>
                <c:pt idx="2">
                  <c:v>415922</c:v>
                </c:pt>
                <c:pt idx="3">
                  <c:v>422264</c:v>
                </c:pt>
                <c:pt idx="4">
                  <c:v>392750</c:v>
                </c:pt>
                <c:pt idx="5">
                  <c:v>383505</c:v>
                </c:pt>
                <c:pt idx="6">
                  <c:v>428513</c:v>
                </c:pt>
                <c:pt idx="7">
                  <c:v>459966</c:v>
                </c:pt>
                <c:pt idx="8">
                  <c:v>450392</c:v>
                </c:pt>
                <c:pt idx="9">
                  <c:v>453423</c:v>
                </c:pt>
                <c:pt idx="10">
                  <c:v>465184</c:v>
                </c:pt>
                <c:pt idx="11">
                  <c:v>495972</c:v>
                </c:pt>
                <c:pt idx="12">
                  <c:v>505143</c:v>
                </c:pt>
                <c:pt idx="13">
                  <c:v>520449</c:v>
                </c:pt>
                <c:pt idx="14">
                  <c:v>510810</c:v>
                </c:pt>
                <c:pt idx="15">
                  <c:v>546466</c:v>
                </c:pt>
                <c:pt idx="16">
                  <c:v>544888</c:v>
                </c:pt>
                <c:pt idx="17">
                  <c:v>559144.64</c:v>
                </c:pt>
                <c:pt idx="18">
                  <c:v>530419</c:v>
                </c:pt>
                <c:pt idx="19">
                  <c:v>593244</c:v>
                </c:pt>
                <c:pt idx="20">
                  <c:v>616467</c:v>
                </c:pt>
                <c:pt idx="21">
                  <c:v>620729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99F3-440E-87D7-964FD16704DD}"/>
            </c:ext>
          </c:extLst>
        </c:ser>
        <c:ser>
          <c:idx val="2"/>
          <c:order val="2"/>
          <c:tx>
            <c:strRef>
              <c:f>Idősorok_ábrák_Állományi!$J$38</c:f>
              <c:strCache>
                <c:ptCount val="1"/>
                <c:pt idx="0">
                  <c:v>Agrárgazdaság összesen (millió Ft)</c:v>
                </c:pt>
              </c:strCache>
            </c:strRef>
          </c:tx>
          <c:spPr>
            <a:solidFill>
              <a:srgbClr val="C00000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 b="1">
                    <a:latin typeface="Times New Roman" panose="02020603050405020304" pitchFamily="18" charset="0"/>
                    <a:cs typeface="Times New Roman" panose="02020603050405020304" pitchFamily="18" charset="0"/>
                  </a:defRPr>
                </a:pPr>
                <a:endParaRPr lang="hu-HU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Idősorok_ábrák_Állományi!$K$35:$AF$35</c:f>
              <c:strCache>
                <c:ptCount val="22"/>
                <c:pt idx="0">
                  <c:v>2016. I. </c:v>
                </c:pt>
                <c:pt idx="1">
                  <c:v>2016.II.</c:v>
                </c:pt>
                <c:pt idx="2">
                  <c:v>2016.III.</c:v>
                </c:pt>
                <c:pt idx="3">
                  <c:v>2016.IV.</c:v>
                </c:pt>
                <c:pt idx="4">
                  <c:v>2017.I.</c:v>
                </c:pt>
                <c:pt idx="5">
                  <c:v>2017.II.</c:v>
                </c:pt>
                <c:pt idx="6">
                  <c:v>2017.III.</c:v>
                </c:pt>
                <c:pt idx="7">
                  <c:v>2017.IV.</c:v>
                </c:pt>
                <c:pt idx="8">
                  <c:v>2018.I.</c:v>
                </c:pt>
                <c:pt idx="9">
                  <c:v>2018.I.Ú</c:v>
                </c:pt>
                <c:pt idx="10">
                  <c:v>2018.II.</c:v>
                </c:pt>
                <c:pt idx="11">
                  <c:v>2018.III.</c:v>
                </c:pt>
                <c:pt idx="12">
                  <c:v>2018.IV.</c:v>
                </c:pt>
                <c:pt idx="13">
                  <c:v>2019.I.</c:v>
                </c:pt>
                <c:pt idx="14">
                  <c:v>2019.II.</c:v>
                </c:pt>
                <c:pt idx="15">
                  <c:v>2019.III.</c:v>
                </c:pt>
                <c:pt idx="16">
                  <c:v>2019.IV.</c:v>
                </c:pt>
                <c:pt idx="17">
                  <c:v>2020.I.</c:v>
                </c:pt>
                <c:pt idx="18">
                  <c:v>2020.II.</c:v>
                </c:pt>
                <c:pt idx="19">
                  <c:v>2020.III.</c:v>
                </c:pt>
                <c:pt idx="20">
                  <c:v>2020.IV.</c:v>
                </c:pt>
                <c:pt idx="21">
                  <c:v>2021. I.</c:v>
                </c:pt>
              </c:strCache>
            </c:strRef>
          </c:cat>
          <c:val>
            <c:numRef>
              <c:f>Idősorok_ábrák_Állományi!$K$38:$AF$38</c:f>
              <c:numCache>
                <c:formatCode>#,##0</c:formatCode>
                <c:ptCount val="22"/>
                <c:pt idx="0">
                  <c:v>825056</c:v>
                </c:pt>
                <c:pt idx="1">
                  <c:v>848204</c:v>
                </c:pt>
                <c:pt idx="2">
                  <c:v>924696</c:v>
                </c:pt>
                <c:pt idx="3">
                  <c:v>985514</c:v>
                </c:pt>
                <c:pt idx="4">
                  <c:v>997791</c:v>
                </c:pt>
                <c:pt idx="5">
                  <c:v>1005984</c:v>
                </c:pt>
                <c:pt idx="6">
                  <c:v>1073238</c:v>
                </c:pt>
                <c:pt idx="7">
                  <c:v>1070624</c:v>
                </c:pt>
                <c:pt idx="8">
                  <c:v>1030760</c:v>
                </c:pt>
                <c:pt idx="9">
                  <c:v>1072544</c:v>
                </c:pt>
                <c:pt idx="10">
                  <c:v>1109892</c:v>
                </c:pt>
                <c:pt idx="11">
                  <c:v>1163376</c:v>
                </c:pt>
                <c:pt idx="12">
                  <c:v>1129593</c:v>
                </c:pt>
                <c:pt idx="13">
                  <c:v>1205011</c:v>
                </c:pt>
                <c:pt idx="14">
                  <c:v>1233423</c:v>
                </c:pt>
                <c:pt idx="15">
                  <c:v>1292983</c:v>
                </c:pt>
                <c:pt idx="16">
                  <c:v>1273745</c:v>
                </c:pt>
                <c:pt idx="17">
                  <c:v>1292276.71</c:v>
                </c:pt>
                <c:pt idx="18">
                  <c:v>1306049</c:v>
                </c:pt>
                <c:pt idx="19">
                  <c:v>1405757</c:v>
                </c:pt>
                <c:pt idx="20">
                  <c:v>1431390</c:v>
                </c:pt>
                <c:pt idx="21">
                  <c:v>1435198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99F3-440E-87D7-964FD16704D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65294128"/>
        <c:axId val="565298440"/>
      </c:barChart>
      <c:catAx>
        <c:axId val="565294128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565298440"/>
        <c:crosses val="autoZero"/>
        <c:auto val="1"/>
        <c:lblAlgn val="ctr"/>
        <c:lblOffset val="100"/>
        <c:noMultiLvlLbl val="0"/>
      </c:catAx>
      <c:valAx>
        <c:axId val="565298440"/>
        <c:scaling>
          <c:orientation val="minMax"/>
        </c:scaling>
        <c:delete val="0"/>
        <c:axPos val="l"/>
        <c:majorGridlines/>
        <c:numFmt formatCode="#,##0" sourceLinked="1"/>
        <c:majorTickMark val="out"/>
        <c:minorTickMark val="none"/>
        <c:tickLblPos val="nextTo"/>
        <c:crossAx val="565294128"/>
        <c:crosses val="autoZero"/>
        <c:crossBetween val="between"/>
      </c:valAx>
    </c:plotArea>
    <c:legend>
      <c:legendPos val="b"/>
      <c:overlay val="0"/>
    </c:legend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hu-H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percentStacked"/>
        <c:varyColors val="0"/>
        <c:ser>
          <c:idx val="0"/>
          <c:order val="0"/>
          <c:tx>
            <c:strRef>
              <c:f>Idősorok_ábrák_Állományi!$J$100</c:f>
              <c:strCache>
                <c:ptCount val="1"/>
                <c:pt idx="0">
                  <c:v>Egyéni gazdaságok aránya (%)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1">
                    <a:latin typeface="Times New Roman" panose="02020603050405020304" pitchFamily="18" charset="0"/>
                    <a:cs typeface="Times New Roman" panose="02020603050405020304" pitchFamily="18" charset="0"/>
                  </a:defRPr>
                </a:pPr>
                <a:endParaRPr lang="hu-HU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Idősorok_ábrák_Állományi!$K$99:$AF$99</c:f>
              <c:strCache>
                <c:ptCount val="22"/>
                <c:pt idx="0">
                  <c:v>2016. I. </c:v>
                </c:pt>
                <c:pt idx="1">
                  <c:v>2016.II.</c:v>
                </c:pt>
                <c:pt idx="2">
                  <c:v>2016.III.</c:v>
                </c:pt>
                <c:pt idx="3">
                  <c:v>2016.IV.</c:v>
                </c:pt>
                <c:pt idx="4">
                  <c:v>2017.I.</c:v>
                </c:pt>
                <c:pt idx="5">
                  <c:v>2017.II.</c:v>
                </c:pt>
                <c:pt idx="6">
                  <c:v>2017.III.</c:v>
                </c:pt>
                <c:pt idx="7">
                  <c:v>2017.IV.</c:v>
                </c:pt>
                <c:pt idx="8">
                  <c:v>2018.I.R</c:v>
                </c:pt>
                <c:pt idx="9">
                  <c:v>2018.I.Ú</c:v>
                </c:pt>
                <c:pt idx="10">
                  <c:v>2018.II.</c:v>
                </c:pt>
                <c:pt idx="11">
                  <c:v>2018.III.</c:v>
                </c:pt>
                <c:pt idx="12">
                  <c:v>2018.IV.</c:v>
                </c:pt>
                <c:pt idx="13">
                  <c:v>2019.I.</c:v>
                </c:pt>
                <c:pt idx="14">
                  <c:v>2019.II.</c:v>
                </c:pt>
                <c:pt idx="15">
                  <c:v>2019.III.</c:v>
                </c:pt>
                <c:pt idx="16">
                  <c:v>2019.IV.</c:v>
                </c:pt>
                <c:pt idx="17">
                  <c:v>2020.I.</c:v>
                </c:pt>
                <c:pt idx="18">
                  <c:v>2020.II.</c:v>
                </c:pt>
                <c:pt idx="19">
                  <c:v>2020.III.</c:v>
                </c:pt>
                <c:pt idx="20">
                  <c:v>2020.IV.</c:v>
                </c:pt>
                <c:pt idx="21">
                  <c:v>2021. I.</c:v>
                </c:pt>
              </c:strCache>
            </c:strRef>
          </c:cat>
          <c:val>
            <c:numRef>
              <c:f>Idősorok_ábrák_Állományi!$K$100:$AF$100</c:f>
              <c:numCache>
                <c:formatCode>0.00</c:formatCode>
                <c:ptCount val="22"/>
                <c:pt idx="0">
                  <c:v>24.632396268663481</c:v>
                </c:pt>
                <c:pt idx="1">
                  <c:v>26.676412192088673</c:v>
                </c:pt>
                <c:pt idx="2">
                  <c:v>31.26712449928652</c:v>
                </c:pt>
                <c:pt idx="3">
                  <c:v>44.853439857967153</c:v>
                </c:pt>
                <c:pt idx="4">
                  <c:v>48.303252677508922</c:v>
                </c:pt>
                <c:pt idx="5">
                  <c:v>50.490939467934716</c:v>
                </c:pt>
                <c:pt idx="6">
                  <c:v>51.075654078334296</c:v>
                </c:pt>
                <c:pt idx="7">
                  <c:v>49.951118381944752</c:v>
                </c:pt>
                <c:pt idx="8">
                  <c:v>51.036239075896674</c:v>
                </c:pt>
                <c:pt idx="9">
                  <c:v>51.307256578277915</c:v>
                </c:pt>
                <c:pt idx="10">
                  <c:v>51.248472176551239</c:v>
                </c:pt>
                <c:pt idx="11">
                  <c:v>50.37923057098849</c:v>
                </c:pt>
                <c:pt idx="12">
                  <c:v>49.631195451997755</c:v>
                </c:pt>
                <c:pt idx="13">
                  <c:v>48.842909772964319</c:v>
                </c:pt>
                <c:pt idx="14">
                  <c:v>48.262347895761629</c:v>
                </c:pt>
                <c:pt idx="15">
                  <c:v>47.899512000396513</c:v>
                </c:pt>
                <c:pt idx="16">
                  <c:v>47.863572689841767</c:v>
                </c:pt>
                <c:pt idx="17">
                  <c:v>46.487358000857881</c:v>
                </c:pt>
                <c:pt idx="18">
                  <c:v>46.794021368463525</c:v>
                </c:pt>
                <c:pt idx="19">
                  <c:v>45.939269969502064</c:v>
                </c:pt>
                <c:pt idx="20">
                  <c:v>44.882399932263539</c:v>
                </c:pt>
                <c:pt idx="21">
                  <c:v>44.48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C0E0-40A6-BB26-CA1372541E31}"/>
            </c:ext>
          </c:extLst>
        </c:ser>
        <c:ser>
          <c:idx val="1"/>
          <c:order val="1"/>
          <c:tx>
            <c:strRef>
              <c:f>Idősorok_ábrák_Állományi!$J$101</c:f>
              <c:strCache>
                <c:ptCount val="1"/>
                <c:pt idx="0">
                  <c:v>Gazdasági szervezetek aránya(%)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1">
                    <a:latin typeface="Times New Roman" panose="02020603050405020304" pitchFamily="18" charset="0"/>
                    <a:cs typeface="Times New Roman" panose="02020603050405020304" pitchFamily="18" charset="0"/>
                  </a:defRPr>
                </a:pPr>
                <a:endParaRPr lang="hu-HU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Idősorok_ábrák_Állományi!$K$99:$AF$99</c:f>
              <c:strCache>
                <c:ptCount val="22"/>
                <c:pt idx="0">
                  <c:v>2016. I. </c:v>
                </c:pt>
                <c:pt idx="1">
                  <c:v>2016.II.</c:v>
                </c:pt>
                <c:pt idx="2">
                  <c:v>2016.III.</c:v>
                </c:pt>
                <c:pt idx="3">
                  <c:v>2016.IV.</c:v>
                </c:pt>
                <c:pt idx="4">
                  <c:v>2017.I.</c:v>
                </c:pt>
                <c:pt idx="5">
                  <c:v>2017.II.</c:v>
                </c:pt>
                <c:pt idx="6">
                  <c:v>2017.III.</c:v>
                </c:pt>
                <c:pt idx="7">
                  <c:v>2017.IV.</c:v>
                </c:pt>
                <c:pt idx="8">
                  <c:v>2018.I.R</c:v>
                </c:pt>
                <c:pt idx="9">
                  <c:v>2018.I.Ú</c:v>
                </c:pt>
                <c:pt idx="10">
                  <c:v>2018.II.</c:v>
                </c:pt>
                <c:pt idx="11">
                  <c:v>2018.III.</c:v>
                </c:pt>
                <c:pt idx="12">
                  <c:v>2018.IV.</c:v>
                </c:pt>
                <c:pt idx="13">
                  <c:v>2019.I.</c:v>
                </c:pt>
                <c:pt idx="14">
                  <c:v>2019.II.</c:v>
                </c:pt>
                <c:pt idx="15">
                  <c:v>2019.III.</c:v>
                </c:pt>
                <c:pt idx="16">
                  <c:v>2019.IV.</c:v>
                </c:pt>
                <c:pt idx="17">
                  <c:v>2020.I.</c:v>
                </c:pt>
                <c:pt idx="18">
                  <c:v>2020.II.</c:v>
                </c:pt>
                <c:pt idx="19">
                  <c:v>2020.III.</c:v>
                </c:pt>
                <c:pt idx="20">
                  <c:v>2020.IV.</c:v>
                </c:pt>
                <c:pt idx="21">
                  <c:v>2021. I.</c:v>
                </c:pt>
              </c:strCache>
            </c:strRef>
          </c:cat>
          <c:val>
            <c:numRef>
              <c:f>Idősorok_ábrák_Állományi!$K$101:$AF$101</c:f>
              <c:numCache>
                <c:formatCode>0.00</c:formatCode>
                <c:ptCount val="22"/>
                <c:pt idx="0">
                  <c:v>75.367603731336516</c:v>
                </c:pt>
                <c:pt idx="1">
                  <c:v>73.323587807911323</c:v>
                </c:pt>
                <c:pt idx="2">
                  <c:v>68.732875500713476</c:v>
                </c:pt>
                <c:pt idx="3">
                  <c:v>55.14656014203284</c:v>
                </c:pt>
                <c:pt idx="4">
                  <c:v>51.696747322491078</c:v>
                </c:pt>
                <c:pt idx="5">
                  <c:v>49.509060532065284</c:v>
                </c:pt>
                <c:pt idx="6">
                  <c:v>48.924345921665704</c:v>
                </c:pt>
                <c:pt idx="7">
                  <c:v>50.048881618055255</c:v>
                </c:pt>
                <c:pt idx="8">
                  <c:v>48.963760924103326</c:v>
                </c:pt>
                <c:pt idx="9">
                  <c:v>48.692743421722085</c:v>
                </c:pt>
                <c:pt idx="10">
                  <c:v>48.751527823448754</c:v>
                </c:pt>
                <c:pt idx="11">
                  <c:v>49.62076942901151</c:v>
                </c:pt>
                <c:pt idx="12">
                  <c:v>50.368804548002245</c:v>
                </c:pt>
                <c:pt idx="13">
                  <c:v>51.157090227035681</c:v>
                </c:pt>
                <c:pt idx="14">
                  <c:v>51.737652104238364</c:v>
                </c:pt>
                <c:pt idx="15">
                  <c:v>52.100487999603494</c:v>
                </c:pt>
                <c:pt idx="16">
                  <c:v>52.136427310158226</c:v>
                </c:pt>
                <c:pt idx="17">
                  <c:v>53.512641999142119</c:v>
                </c:pt>
                <c:pt idx="18">
                  <c:v>53.205978631536468</c:v>
                </c:pt>
                <c:pt idx="19">
                  <c:v>54.060730030497936</c:v>
                </c:pt>
                <c:pt idx="20">
                  <c:v>55.117600067736461</c:v>
                </c:pt>
                <c:pt idx="21">
                  <c:v>55.52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C0E0-40A6-BB26-CA1372541E3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565296480"/>
        <c:axId val="565297264"/>
      </c:barChart>
      <c:catAx>
        <c:axId val="565296480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>
                <a:latin typeface="Times New Roman" panose="02020603050405020304" pitchFamily="18" charset="0"/>
                <a:cs typeface="Times New Roman" panose="02020603050405020304" pitchFamily="18" charset="0"/>
              </a:defRPr>
            </a:pPr>
            <a:endParaRPr lang="hu-HU"/>
          </a:p>
        </c:txPr>
        <c:crossAx val="565297264"/>
        <c:crosses val="autoZero"/>
        <c:auto val="1"/>
        <c:lblAlgn val="ctr"/>
        <c:lblOffset val="100"/>
        <c:noMultiLvlLbl val="0"/>
      </c:catAx>
      <c:valAx>
        <c:axId val="565297264"/>
        <c:scaling>
          <c:orientation val="minMax"/>
        </c:scaling>
        <c:delete val="0"/>
        <c:axPos val="l"/>
        <c:majorGridlines/>
        <c:numFmt formatCode="0%" sourceLinked="1"/>
        <c:majorTickMark val="out"/>
        <c:minorTickMark val="none"/>
        <c:tickLblPos val="nextTo"/>
        <c:txPr>
          <a:bodyPr/>
          <a:lstStyle/>
          <a:p>
            <a:pPr>
              <a:defRPr>
                <a:latin typeface="Times New Roman" panose="02020603050405020304" pitchFamily="18" charset="0"/>
                <a:cs typeface="Times New Roman" panose="02020603050405020304" pitchFamily="18" charset="0"/>
              </a:defRPr>
            </a:pPr>
            <a:endParaRPr lang="hu-HU"/>
          </a:p>
        </c:txPr>
        <c:crossAx val="565296480"/>
        <c:crosses val="autoZero"/>
        <c:crossBetween val="between"/>
      </c:valAx>
    </c:plotArea>
    <c:legend>
      <c:legendPos val="b"/>
      <c:overlay val="0"/>
      <c:txPr>
        <a:bodyPr/>
        <a:lstStyle/>
        <a:p>
          <a:pPr>
            <a:defRPr>
              <a:latin typeface="Times New Roman" panose="02020603050405020304" pitchFamily="18" charset="0"/>
              <a:cs typeface="Times New Roman" panose="02020603050405020304" pitchFamily="18" charset="0"/>
            </a:defRPr>
          </a:pPr>
          <a:endParaRPr lang="hu-HU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hu-H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Idősorok_ábrák_Állományi!$AK$547</c:f>
              <c:strCache>
                <c:ptCount val="1"/>
                <c:pt idx="0">
                  <c:v>Összes devizahitel (millió Ft)</c:v>
                </c:pt>
              </c:strCache>
            </c:strRef>
          </c:tx>
          <c:spPr>
            <a:solidFill>
              <a:srgbClr val="9BBB59">
                <a:lumMod val="50000"/>
              </a:srgbClr>
            </a:solidFill>
            <a:ln>
              <a:noFill/>
            </a:ln>
            <a:effectLst/>
          </c:spPr>
          <c:invertIfNegative val="0"/>
          <c:cat>
            <c:strRef>
              <c:f>Idősorok_ábrák_Állományi!$AL$546:$BF$546</c:f>
              <c:strCache>
                <c:ptCount val="21"/>
                <c:pt idx="0">
                  <c:v>2016. I. </c:v>
                </c:pt>
                <c:pt idx="1">
                  <c:v>2016.II.</c:v>
                </c:pt>
                <c:pt idx="2">
                  <c:v>2016.III.</c:v>
                </c:pt>
                <c:pt idx="3">
                  <c:v>2016.IV.</c:v>
                </c:pt>
                <c:pt idx="4">
                  <c:v>2017.I.</c:v>
                </c:pt>
                <c:pt idx="5">
                  <c:v>2017.II.</c:v>
                </c:pt>
                <c:pt idx="6">
                  <c:v>2017.III.</c:v>
                </c:pt>
                <c:pt idx="7">
                  <c:v>2017.IV.</c:v>
                </c:pt>
                <c:pt idx="8">
                  <c:v>2018.I.R</c:v>
                </c:pt>
                <c:pt idx="9">
                  <c:v>2018.I.Ú</c:v>
                </c:pt>
                <c:pt idx="10">
                  <c:v>2018.II.</c:v>
                </c:pt>
                <c:pt idx="11">
                  <c:v>2018.III.</c:v>
                </c:pt>
                <c:pt idx="12">
                  <c:v>2018.IV.</c:v>
                </c:pt>
                <c:pt idx="13">
                  <c:v>2019.I.</c:v>
                </c:pt>
                <c:pt idx="14">
                  <c:v>2019.II.</c:v>
                </c:pt>
                <c:pt idx="15">
                  <c:v>2019.III.</c:v>
                </c:pt>
                <c:pt idx="16">
                  <c:v>2019.IV.</c:v>
                </c:pt>
                <c:pt idx="17">
                  <c:v>2020.I.</c:v>
                </c:pt>
                <c:pt idx="18">
                  <c:v>2020.II.</c:v>
                </c:pt>
                <c:pt idx="19">
                  <c:v>2020.III.</c:v>
                </c:pt>
                <c:pt idx="20">
                  <c:v>2020.IV.</c:v>
                </c:pt>
              </c:strCache>
            </c:strRef>
          </c:cat>
          <c:val>
            <c:numRef>
              <c:f>Idősorok_ábrák_Állományi!$AL$547:$BF$547</c:f>
              <c:numCache>
                <c:formatCode>#,##0</c:formatCode>
                <c:ptCount val="21"/>
                <c:pt idx="0">
                  <c:v>167798.0921287068</c:v>
                </c:pt>
                <c:pt idx="1">
                  <c:v>173651.65248804481</c:v>
                </c:pt>
                <c:pt idx="2">
                  <c:v>187869.43474645697</c:v>
                </c:pt>
                <c:pt idx="3">
                  <c:v>191862.15461264219</c:v>
                </c:pt>
                <c:pt idx="4">
                  <c:v>191635.09153203003</c:v>
                </c:pt>
                <c:pt idx="5">
                  <c:v>198229.6210448278</c:v>
                </c:pt>
                <c:pt idx="6">
                  <c:v>231879.96577890191</c:v>
                </c:pt>
                <c:pt idx="7">
                  <c:v>237139.3856876744</c:v>
                </c:pt>
                <c:pt idx="8">
                  <c:v>239424</c:v>
                </c:pt>
                <c:pt idx="9">
                  <c:v>239967</c:v>
                </c:pt>
                <c:pt idx="10">
                  <c:v>255114</c:v>
                </c:pt>
                <c:pt idx="11">
                  <c:v>257684</c:v>
                </c:pt>
                <c:pt idx="12">
                  <c:v>256678</c:v>
                </c:pt>
                <c:pt idx="13">
                  <c:v>273739</c:v>
                </c:pt>
                <c:pt idx="14">
                  <c:v>278637</c:v>
                </c:pt>
                <c:pt idx="15">
                  <c:v>303627</c:v>
                </c:pt>
                <c:pt idx="16">
                  <c:v>273820</c:v>
                </c:pt>
                <c:pt idx="17">
                  <c:v>298393</c:v>
                </c:pt>
                <c:pt idx="18">
                  <c:v>287284</c:v>
                </c:pt>
                <c:pt idx="19">
                  <c:v>303946</c:v>
                </c:pt>
                <c:pt idx="20">
                  <c:v>301552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E157-4C49-BC31-DC23E3FF3B59}"/>
            </c:ext>
          </c:extLst>
        </c:ser>
        <c:ser>
          <c:idx val="1"/>
          <c:order val="1"/>
          <c:tx>
            <c:strRef>
              <c:f>Idősorok_ábrák_Állományi!$AK$548</c:f>
              <c:strCache>
                <c:ptCount val="1"/>
                <c:pt idx="0">
                  <c:v>Összes forinthitel (millió Ft)</c:v>
                </c:pt>
              </c:strCache>
            </c:strRef>
          </c:tx>
          <c:spPr>
            <a:solidFill>
              <a:srgbClr val="C00000"/>
            </a:solidFill>
            <a:ln>
              <a:noFill/>
            </a:ln>
            <a:effectLst/>
          </c:spPr>
          <c:invertIfNegative val="0"/>
          <c:cat>
            <c:strRef>
              <c:f>Idősorok_ábrák_Állományi!$AL$546:$BF$546</c:f>
              <c:strCache>
                <c:ptCount val="21"/>
                <c:pt idx="0">
                  <c:v>2016. I. </c:v>
                </c:pt>
                <c:pt idx="1">
                  <c:v>2016.II.</c:v>
                </c:pt>
                <c:pt idx="2">
                  <c:v>2016.III.</c:v>
                </c:pt>
                <c:pt idx="3">
                  <c:v>2016.IV.</c:v>
                </c:pt>
                <c:pt idx="4">
                  <c:v>2017.I.</c:v>
                </c:pt>
                <c:pt idx="5">
                  <c:v>2017.II.</c:v>
                </c:pt>
                <c:pt idx="6">
                  <c:v>2017.III.</c:v>
                </c:pt>
                <c:pt idx="7">
                  <c:v>2017.IV.</c:v>
                </c:pt>
                <c:pt idx="8">
                  <c:v>2018.I.R</c:v>
                </c:pt>
                <c:pt idx="9">
                  <c:v>2018.I.Ú</c:v>
                </c:pt>
                <c:pt idx="10">
                  <c:v>2018.II.</c:v>
                </c:pt>
                <c:pt idx="11">
                  <c:v>2018.III.</c:v>
                </c:pt>
                <c:pt idx="12">
                  <c:v>2018.IV.</c:v>
                </c:pt>
                <c:pt idx="13">
                  <c:v>2019.I.</c:v>
                </c:pt>
                <c:pt idx="14">
                  <c:v>2019.II.</c:v>
                </c:pt>
                <c:pt idx="15">
                  <c:v>2019.III.</c:v>
                </c:pt>
                <c:pt idx="16">
                  <c:v>2019.IV.</c:v>
                </c:pt>
                <c:pt idx="17">
                  <c:v>2020.I.</c:v>
                </c:pt>
                <c:pt idx="18">
                  <c:v>2020.II.</c:v>
                </c:pt>
                <c:pt idx="19">
                  <c:v>2020.III.</c:v>
                </c:pt>
                <c:pt idx="20">
                  <c:v>2020.IV.</c:v>
                </c:pt>
              </c:strCache>
            </c:strRef>
          </c:cat>
          <c:val>
            <c:numRef>
              <c:f>Idősorok_ábrák_Állományi!$AL$548:$BF$548</c:f>
              <c:numCache>
                <c:formatCode>#,##0</c:formatCode>
                <c:ptCount val="21"/>
                <c:pt idx="0">
                  <c:v>657257.96118299989</c:v>
                </c:pt>
                <c:pt idx="1">
                  <c:v>674553.01882894197</c:v>
                </c:pt>
                <c:pt idx="2">
                  <c:v>736825.623578</c:v>
                </c:pt>
                <c:pt idx="3">
                  <c:v>793652.2020589998</c:v>
                </c:pt>
                <c:pt idx="4">
                  <c:v>806155.09161500004</c:v>
                </c:pt>
                <c:pt idx="5">
                  <c:v>807755.00951</c:v>
                </c:pt>
                <c:pt idx="6">
                  <c:v>841357.78735600004</c:v>
                </c:pt>
                <c:pt idx="7">
                  <c:v>833484.83354499994</c:v>
                </c:pt>
                <c:pt idx="8">
                  <c:v>791335.51600000006</c:v>
                </c:pt>
                <c:pt idx="9">
                  <c:v>832577</c:v>
                </c:pt>
                <c:pt idx="10">
                  <c:v>854778</c:v>
                </c:pt>
                <c:pt idx="11">
                  <c:v>901373</c:v>
                </c:pt>
                <c:pt idx="12">
                  <c:v>872915</c:v>
                </c:pt>
                <c:pt idx="13">
                  <c:v>931272</c:v>
                </c:pt>
                <c:pt idx="14">
                  <c:v>907508</c:v>
                </c:pt>
                <c:pt idx="15">
                  <c:v>989356</c:v>
                </c:pt>
                <c:pt idx="16">
                  <c:v>999925</c:v>
                </c:pt>
                <c:pt idx="17">
                  <c:v>993883</c:v>
                </c:pt>
                <c:pt idx="18">
                  <c:v>1018765</c:v>
                </c:pt>
                <c:pt idx="19">
                  <c:v>1101813</c:v>
                </c:pt>
                <c:pt idx="20">
                  <c:v>1129838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E157-4C49-BC31-DC23E3FF3B5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565298832"/>
        <c:axId val="565299224"/>
      </c:barChart>
      <c:lineChart>
        <c:grouping val="standard"/>
        <c:varyColors val="0"/>
        <c:ser>
          <c:idx val="2"/>
          <c:order val="2"/>
          <c:tx>
            <c:strRef>
              <c:f>Idősorok_ábrák_Állományi!$AK$550</c:f>
              <c:strCache>
                <c:ptCount val="1"/>
                <c:pt idx="0">
                  <c:v>Devizahitelek/teljes hitelállomány (%)</c:v>
                </c:pt>
              </c:strCache>
            </c:strRef>
          </c:tx>
          <c:spPr>
            <a:ln w="38100" cap="rnd">
              <a:solidFill>
                <a:srgbClr val="F79646">
                  <a:lumMod val="75000"/>
                </a:srgbClr>
              </a:solidFill>
              <a:round/>
            </a:ln>
            <a:effectLst/>
          </c:spPr>
          <c:marker>
            <c:symbol val="none"/>
          </c:marker>
          <c:dLbls>
            <c:dLbl>
              <c:idx val="0"/>
              <c:layout>
                <c:manualLayout>
                  <c:x val="-3.5081917130510468E-2"/>
                  <c:y val="-2.645582998597982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0-308F-4B9F-B2C0-7BAA5C578247}"/>
                </c:ex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3.6153205053752913E-2"/>
                  <c:y val="-2.645582998597982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308F-4B9F-B2C0-7BAA5C578247}"/>
                </c:ex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3.2939509977502196E-2"/>
                  <c:y val="-2.986948546804173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2-308F-4B9F-B2C0-7BAA5C578247}"/>
                </c:ex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3.5081917130510468E-2"/>
                  <c:y val="-2.986948546804173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308F-4B9F-B2C0-7BAA5C578247}"/>
                </c:ex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3.2939509977502196E-2"/>
                  <c:y val="-3.328314095010364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4-308F-4B9F-B2C0-7BAA5C578247}"/>
                </c:ex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3.4010713554006332E-2"/>
                  <c:y val="-3.669679643216555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5-308F-4B9F-B2C0-7BAA5C578247}"/>
                </c:ex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-3.4010713554006332E-2"/>
                  <c:y val="-2.645582998597982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6-308F-4B9F-B2C0-7BAA5C578247}"/>
                </c:ex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-3.4010713554006332E-2"/>
                  <c:y val="-2.986948546804173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7-308F-4B9F-B2C0-7BAA5C578247}"/>
                </c:ex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 val="-3.2939509977502196E-2"/>
                  <c:y val="-2.986948546804173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8-308F-4B9F-B2C0-7BAA5C578247}"/>
                </c:ext>
                <c:ext xmlns:c15="http://schemas.microsoft.com/office/drawing/2012/chart" uri="{CE6537A1-D6FC-4f65-9D91-7224C49458BB}"/>
              </c:extLst>
            </c:dLbl>
            <c:dLbl>
              <c:idx val="9"/>
              <c:layout>
                <c:manualLayout>
                  <c:x val="-3.4010713554006332E-2"/>
                  <c:y val="-4.01104519142274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9-308F-4B9F-B2C0-7BAA5C578247}"/>
                </c:ext>
                <c:ext xmlns:c15="http://schemas.microsoft.com/office/drawing/2012/chart" uri="{CE6537A1-D6FC-4f65-9D91-7224C49458BB}"/>
              </c:extLst>
            </c:dLbl>
            <c:dLbl>
              <c:idx val="10"/>
              <c:layout>
                <c:manualLayout>
                  <c:x val="-3.6153120707014604E-2"/>
                  <c:y val="-4.352410739628938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A-308F-4B9F-B2C0-7BAA5C578247}"/>
                </c:ext>
                <c:ext xmlns:c15="http://schemas.microsoft.com/office/drawing/2012/chart" uri="{CE6537A1-D6FC-4f65-9D91-7224C49458BB}"/>
              </c:extLst>
            </c:dLbl>
            <c:dLbl>
              <c:idx val="11"/>
              <c:layout>
                <c:manualLayout>
                  <c:x val="-3.4010713554006332E-2"/>
                  <c:y val="-4.352410739628938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B-308F-4B9F-B2C0-7BAA5C578247}"/>
                </c:ex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>
                    <a:latin typeface="Times New Roman" panose="02020603050405020304" pitchFamily="18" charset="0"/>
                    <a:cs typeface="Times New Roman" panose="02020603050405020304" pitchFamily="18" charset="0"/>
                  </a:defRPr>
                </a:pPr>
                <a:endParaRPr lang="hu-HU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Idősorok_ábrák_Állományi!$AL$546:$BF$546</c:f>
              <c:strCache>
                <c:ptCount val="21"/>
                <c:pt idx="0">
                  <c:v>2016. I. </c:v>
                </c:pt>
                <c:pt idx="1">
                  <c:v>2016.II.</c:v>
                </c:pt>
                <c:pt idx="2">
                  <c:v>2016.III.</c:v>
                </c:pt>
                <c:pt idx="3">
                  <c:v>2016.IV.</c:v>
                </c:pt>
                <c:pt idx="4">
                  <c:v>2017.I.</c:v>
                </c:pt>
                <c:pt idx="5">
                  <c:v>2017.II.</c:v>
                </c:pt>
                <c:pt idx="6">
                  <c:v>2017.III.</c:v>
                </c:pt>
                <c:pt idx="7">
                  <c:v>2017.IV.</c:v>
                </c:pt>
                <c:pt idx="8">
                  <c:v>2018.I.R</c:v>
                </c:pt>
                <c:pt idx="9">
                  <c:v>2018.I.Ú</c:v>
                </c:pt>
                <c:pt idx="10">
                  <c:v>2018.II.</c:v>
                </c:pt>
                <c:pt idx="11">
                  <c:v>2018.III.</c:v>
                </c:pt>
                <c:pt idx="12">
                  <c:v>2018.IV.</c:v>
                </c:pt>
                <c:pt idx="13">
                  <c:v>2019.I.</c:v>
                </c:pt>
                <c:pt idx="14">
                  <c:v>2019.II.</c:v>
                </c:pt>
                <c:pt idx="15">
                  <c:v>2019.III.</c:v>
                </c:pt>
                <c:pt idx="16">
                  <c:v>2019.IV.</c:v>
                </c:pt>
                <c:pt idx="17">
                  <c:v>2020.I.</c:v>
                </c:pt>
                <c:pt idx="18">
                  <c:v>2020.II.</c:v>
                </c:pt>
                <c:pt idx="19">
                  <c:v>2020.III.</c:v>
                </c:pt>
                <c:pt idx="20">
                  <c:v>2020.IV.</c:v>
                </c:pt>
              </c:strCache>
            </c:strRef>
          </c:cat>
          <c:val>
            <c:numRef>
              <c:f>Idősorok_ábrák_Állományi!$AL$550:$BF$550</c:f>
              <c:numCache>
                <c:formatCode>#,##0.00</c:formatCode>
                <c:ptCount val="21"/>
                <c:pt idx="0">
                  <c:v>20.337780864121793</c:v>
                </c:pt>
                <c:pt idx="1">
                  <c:v>20.472847929311698</c:v>
                </c:pt>
                <c:pt idx="2">
                  <c:v>20.316906968971534</c:v>
                </c:pt>
                <c:pt idx="3">
                  <c:v>19.468225228155418</c:v>
                </c:pt>
                <c:pt idx="4">
                  <c:v>19.205950786929272</c:v>
                </c:pt>
                <c:pt idx="5">
                  <c:v>19.705034751425455</c:v>
                </c:pt>
                <c:pt idx="6">
                  <c:v>21.605647499967837</c:v>
                </c:pt>
                <c:pt idx="7">
                  <c:v>22.149637699923723</c:v>
                </c:pt>
                <c:pt idx="8">
                  <c:v>23.227920410486899</c:v>
                </c:pt>
                <c:pt idx="9">
                  <c:v>23.921550827144394</c:v>
                </c:pt>
                <c:pt idx="10">
                  <c:v>23.382076918146915</c:v>
                </c:pt>
                <c:pt idx="11">
                  <c:v>22.816857720729448</c:v>
                </c:pt>
                <c:pt idx="12">
                  <c:v>23.542171727400355</c:v>
                </c:pt>
                <c:pt idx="13">
                  <c:v>22.716722088014134</c:v>
                </c:pt>
                <c:pt idx="14">
                  <c:v>22.590546795381634</c:v>
                </c:pt>
                <c:pt idx="15">
                  <c:v>23.482675332931681</c:v>
                </c:pt>
                <c:pt idx="16">
                  <c:v>21.57162211124939</c:v>
                </c:pt>
                <c:pt idx="17">
                  <c:v>21.57162211124939</c:v>
                </c:pt>
                <c:pt idx="18">
                  <c:v>21.57162211124939</c:v>
                </c:pt>
                <c:pt idx="19">
                  <c:v>21.57162211124939</c:v>
                </c:pt>
                <c:pt idx="20">
                  <c:v>21.067059943788944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E157-4C49-BC31-DC23E3FF3B59}"/>
            </c:ext>
          </c:extLst>
        </c:ser>
        <c:ser>
          <c:idx val="3"/>
          <c:order val="3"/>
          <c:tx>
            <c:strRef>
              <c:f>Idősorok_ábrák_Állományi!$AK$551</c:f>
              <c:strCache>
                <c:ptCount val="1"/>
                <c:pt idx="0">
                  <c:v>Forinthitelek/teljes hitelállomány (%)</c:v>
                </c:pt>
              </c:strCache>
            </c:strRef>
          </c:tx>
          <c:spPr>
            <a:ln w="38100">
              <a:solidFill>
                <a:srgbClr val="9BBB59">
                  <a:lumMod val="50000"/>
                </a:srgbClr>
              </a:solidFill>
            </a:ln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>
                    <a:latin typeface="Times New Roman" panose="02020603050405020304" pitchFamily="18" charset="0"/>
                    <a:cs typeface="Times New Roman" panose="02020603050405020304" pitchFamily="18" charset="0"/>
                  </a:defRPr>
                </a:pPr>
                <a:endParaRPr lang="hu-HU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Idősorok_ábrák_Állományi!$AL$546:$BF$546</c:f>
              <c:strCache>
                <c:ptCount val="21"/>
                <c:pt idx="0">
                  <c:v>2016. I. </c:v>
                </c:pt>
                <c:pt idx="1">
                  <c:v>2016.II.</c:v>
                </c:pt>
                <c:pt idx="2">
                  <c:v>2016.III.</c:v>
                </c:pt>
                <c:pt idx="3">
                  <c:v>2016.IV.</c:v>
                </c:pt>
                <c:pt idx="4">
                  <c:v>2017.I.</c:v>
                </c:pt>
                <c:pt idx="5">
                  <c:v>2017.II.</c:v>
                </c:pt>
                <c:pt idx="6">
                  <c:v>2017.III.</c:v>
                </c:pt>
                <c:pt idx="7">
                  <c:v>2017.IV.</c:v>
                </c:pt>
                <c:pt idx="8">
                  <c:v>2018.I.R</c:v>
                </c:pt>
                <c:pt idx="9">
                  <c:v>2018.I.Ú</c:v>
                </c:pt>
                <c:pt idx="10">
                  <c:v>2018.II.</c:v>
                </c:pt>
                <c:pt idx="11">
                  <c:v>2018.III.</c:v>
                </c:pt>
                <c:pt idx="12">
                  <c:v>2018.IV.</c:v>
                </c:pt>
                <c:pt idx="13">
                  <c:v>2019.I.</c:v>
                </c:pt>
                <c:pt idx="14">
                  <c:v>2019.II.</c:v>
                </c:pt>
                <c:pt idx="15">
                  <c:v>2019.III.</c:v>
                </c:pt>
                <c:pt idx="16">
                  <c:v>2019.IV.</c:v>
                </c:pt>
                <c:pt idx="17">
                  <c:v>2020.I.</c:v>
                </c:pt>
                <c:pt idx="18">
                  <c:v>2020.II.</c:v>
                </c:pt>
                <c:pt idx="19">
                  <c:v>2020.III.</c:v>
                </c:pt>
                <c:pt idx="20">
                  <c:v>2020.IV.</c:v>
                </c:pt>
              </c:strCache>
            </c:strRef>
          </c:cat>
          <c:val>
            <c:numRef>
              <c:f>Idősorok_ábrák_Állományi!$AL$551:$BF$551</c:f>
              <c:numCache>
                <c:formatCode>#,##0.00</c:formatCode>
                <c:ptCount val="21"/>
                <c:pt idx="0">
                  <c:v>79.662219135878203</c:v>
                </c:pt>
                <c:pt idx="1">
                  <c:v>79.527152070688302</c:v>
                </c:pt>
                <c:pt idx="2">
                  <c:v>79.683093031028477</c:v>
                </c:pt>
                <c:pt idx="3">
                  <c:v>80.531774771844582</c:v>
                </c:pt>
                <c:pt idx="4">
                  <c:v>80.794049213070736</c:v>
                </c:pt>
                <c:pt idx="5">
                  <c:v>80.294965248574528</c:v>
                </c:pt>
                <c:pt idx="6">
                  <c:v>78.39435250003217</c:v>
                </c:pt>
                <c:pt idx="7">
                  <c:v>77.850362300076299</c:v>
                </c:pt>
                <c:pt idx="8">
                  <c:v>76.772079589513098</c:v>
                </c:pt>
                <c:pt idx="9">
                  <c:v>76.078449172855599</c:v>
                </c:pt>
                <c:pt idx="10">
                  <c:v>76.617923081853078</c:v>
                </c:pt>
                <c:pt idx="11">
                  <c:v>77.183142279270555</c:v>
                </c:pt>
                <c:pt idx="12">
                  <c:v>76.457828272599642</c:v>
                </c:pt>
                <c:pt idx="13">
                  <c:v>77.283277911985877</c:v>
                </c:pt>
                <c:pt idx="14">
                  <c:v>73.576380528010262</c:v>
                </c:pt>
                <c:pt idx="15">
                  <c:v>76.517324667068323</c:v>
                </c:pt>
                <c:pt idx="16">
                  <c:v>78.428377888750617</c:v>
                </c:pt>
                <c:pt idx="17">
                  <c:v>78.428377888750617</c:v>
                </c:pt>
                <c:pt idx="18">
                  <c:v>78.428377888750617</c:v>
                </c:pt>
                <c:pt idx="19">
                  <c:v>78.428377888750617</c:v>
                </c:pt>
                <c:pt idx="20">
                  <c:v>78.932870194097902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C-308F-4B9F-B2C0-7BAA5C57824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65303928"/>
        <c:axId val="565299616"/>
      </c:lineChart>
      <c:catAx>
        <c:axId val="5652988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hu-HU"/>
          </a:p>
        </c:txPr>
        <c:crossAx val="565299224"/>
        <c:crosses val="autoZero"/>
        <c:auto val="1"/>
        <c:lblAlgn val="ctr"/>
        <c:lblOffset val="100"/>
        <c:noMultiLvlLbl val="0"/>
      </c:catAx>
      <c:valAx>
        <c:axId val="56529922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hu-HU"/>
          </a:p>
        </c:txPr>
        <c:crossAx val="565298832"/>
        <c:crosses val="autoZero"/>
        <c:crossBetween val="between"/>
      </c:valAx>
      <c:valAx>
        <c:axId val="565299616"/>
        <c:scaling>
          <c:orientation val="minMax"/>
          <c:min val="0"/>
        </c:scaling>
        <c:delete val="0"/>
        <c:axPos val="r"/>
        <c:numFmt formatCode="#,##0.00" sourceLinked="1"/>
        <c:majorTickMark val="out"/>
        <c:minorTickMark val="out"/>
        <c:tickLblPos val="nextTo"/>
        <c:spPr>
          <a:noFill/>
          <a:ln>
            <a:solidFill>
              <a:srgbClr val="F79646">
                <a:lumMod val="75000"/>
              </a:srgb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hu-HU"/>
          </a:p>
        </c:txPr>
        <c:crossAx val="565303928"/>
        <c:crosses val="max"/>
        <c:crossBetween val="between"/>
      </c:valAx>
      <c:catAx>
        <c:axId val="56530392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565299616"/>
        <c:crossesAt val="0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hu-HU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hu-HU"/>
    </a:p>
  </c:txPr>
  <c:printSettings>
    <c:headerFooter/>
    <c:pageMargins b="0.75" l="0.7" r="0.7" t="0.75" header="0.3" footer="0.3"/>
    <c:pageSetup/>
  </c:printSettings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hu-H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Idősorok_ábrák_Állományi!$BI$51</c:f>
              <c:strCache>
                <c:ptCount val="1"/>
                <c:pt idx="0">
                  <c:v>Mezőgazdaság beruházási hitelállománya (millárd Ft)</c:v>
                </c:pt>
              </c:strCache>
            </c:strRef>
          </c:tx>
          <c:spPr>
            <a:solidFill>
              <a:schemeClr val="accent3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 sz="1100" b="1">
                    <a:latin typeface="Times New Roman" panose="02020603050405020304" pitchFamily="18" charset="0"/>
                    <a:cs typeface="Times New Roman" panose="02020603050405020304" pitchFamily="18" charset="0"/>
                  </a:defRPr>
                </a:pPr>
                <a:endParaRPr lang="hu-HU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Idősorok_ábrák_Állományi!$BJ$50:$CE$50</c:f>
              <c:strCache>
                <c:ptCount val="22"/>
                <c:pt idx="0">
                  <c:v>2016. I. </c:v>
                </c:pt>
                <c:pt idx="1">
                  <c:v>2016.II.</c:v>
                </c:pt>
                <c:pt idx="2">
                  <c:v>2016.III.</c:v>
                </c:pt>
                <c:pt idx="3">
                  <c:v>2016.IV.</c:v>
                </c:pt>
                <c:pt idx="4">
                  <c:v>2017.I.</c:v>
                </c:pt>
                <c:pt idx="5">
                  <c:v>2017.II.</c:v>
                </c:pt>
                <c:pt idx="6">
                  <c:v>2017.III.</c:v>
                </c:pt>
                <c:pt idx="7">
                  <c:v>2017.IV.</c:v>
                </c:pt>
                <c:pt idx="8">
                  <c:v>2018.I.R</c:v>
                </c:pt>
                <c:pt idx="9">
                  <c:v>2018.I.Ú</c:v>
                </c:pt>
                <c:pt idx="10">
                  <c:v>2018.II.</c:v>
                </c:pt>
                <c:pt idx="11">
                  <c:v>2018.III.</c:v>
                </c:pt>
                <c:pt idx="12">
                  <c:v>2018.IV.</c:v>
                </c:pt>
                <c:pt idx="13">
                  <c:v>2019.I.</c:v>
                </c:pt>
                <c:pt idx="14">
                  <c:v>2019.II.</c:v>
                </c:pt>
                <c:pt idx="15">
                  <c:v>2019.III.</c:v>
                </c:pt>
                <c:pt idx="16">
                  <c:v>2019.IV.</c:v>
                </c:pt>
                <c:pt idx="17">
                  <c:v>2020.I.</c:v>
                </c:pt>
                <c:pt idx="18">
                  <c:v>2020.II.</c:v>
                </c:pt>
                <c:pt idx="19">
                  <c:v>2020.III.</c:v>
                </c:pt>
                <c:pt idx="20">
                  <c:v>2020.IV.</c:v>
                </c:pt>
                <c:pt idx="21">
                  <c:v>2021.I.</c:v>
                </c:pt>
              </c:strCache>
            </c:strRef>
          </c:cat>
          <c:val>
            <c:numRef>
              <c:f>Idősorok_ábrák_Állományi!$BJ$51:$CE$51</c:f>
              <c:numCache>
                <c:formatCode>#\ ##0.0</c:formatCode>
                <c:ptCount val="22"/>
                <c:pt idx="0">
                  <c:v>183.21799999999999</c:v>
                </c:pt>
                <c:pt idx="1">
                  <c:v>184.36</c:v>
                </c:pt>
                <c:pt idx="2">
                  <c:v>205.315</c:v>
                </c:pt>
                <c:pt idx="3">
                  <c:v>292.40300000000002</c:v>
                </c:pt>
                <c:pt idx="4">
                  <c:v>319.03100000000001</c:v>
                </c:pt>
                <c:pt idx="5">
                  <c:v>330.06400000000002</c:v>
                </c:pt>
                <c:pt idx="6">
                  <c:v>336.81200000000001</c:v>
                </c:pt>
                <c:pt idx="7">
                  <c:v>324.16199999999998</c:v>
                </c:pt>
                <c:pt idx="8">
                  <c:v>310.38</c:v>
                </c:pt>
                <c:pt idx="9">
                  <c:v>349.12099999999998</c:v>
                </c:pt>
                <c:pt idx="10">
                  <c:v>359.33499999999998</c:v>
                </c:pt>
                <c:pt idx="11">
                  <c:v>361.38400000000001</c:v>
                </c:pt>
                <c:pt idx="12">
                  <c:v>305.90800000000002</c:v>
                </c:pt>
                <c:pt idx="13">
                  <c:v>370.49799999999999</c:v>
                </c:pt>
                <c:pt idx="14">
                  <c:v>393.78399999999999</c:v>
                </c:pt>
                <c:pt idx="15">
                  <c:v>415.15499999999997</c:v>
                </c:pt>
                <c:pt idx="16">
                  <c:v>342.01100000000002</c:v>
                </c:pt>
                <c:pt idx="17">
                  <c:v>412.44499999999999</c:v>
                </c:pt>
                <c:pt idx="18">
                  <c:v>437.43200000000002</c:v>
                </c:pt>
                <c:pt idx="19">
                  <c:v>443.77600000000001</c:v>
                </c:pt>
                <c:pt idx="20">
                  <c:v>459.351</c:v>
                </c:pt>
                <c:pt idx="21">
                  <c:v>458.78100000000001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0E54-4891-8A66-04090631178F}"/>
            </c:ext>
          </c:extLst>
        </c:ser>
        <c:ser>
          <c:idx val="1"/>
          <c:order val="1"/>
          <c:tx>
            <c:strRef>
              <c:f>Idősorok_ábrák_Állományi!$BI$52</c:f>
              <c:strCache>
                <c:ptCount val="1"/>
                <c:pt idx="0">
                  <c:v>Élelmiszeripar beruházási hitelállománya (milliárd Ft)</c:v>
                </c:pt>
              </c:strCache>
            </c:strRef>
          </c:tx>
          <c:invertIfNegative val="0"/>
          <c:cat>
            <c:strRef>
              <c:f>Idősorok_ábrák_Állományi!$BJ$50:$CE$50</c:f>
              <c:strCache>
                <c:ptCount val="22"/>
                <c:pt idx="0">
                  <c:v>2016. I. </c:v>
                </c:pt>
                <c:pt idx="1">
                  <c:v>2016.II.</c:v>
                </c:pt>
                <c:pt idx="2">
                  <c:v>2016.III.</c:v>
                </c:pt>
                <c:pt idx="3">
                  <c:v>2016.IV.</c:v>
                </c:pt>
                <c:pt idx="4">
                  <c:v>2017.I.</c:v>
                </c:pt>
                <c:pt idx="5">
                  <c:v>2017.II.</c:v>
                </c:pt>
                <c:pt idx="6">
                  <c:v>2017.III.</c:v>
                </c:pt>
                <c:pt idx="7">
                  <c:v>2017.IV.</c:v>
                </c:pt>
                <c:pt idx="8">
                  <c:v>2018.I.R</c:v>
                </c:pt>
                <c:pt idx="9">
                  <c:v>2018.I.Ú</c:v>
                </c:pt>
                <c:pt idx="10">
                  <c:v>2018.II.</c:v>
                </c:pt>
                <c:pt idx="11">
                  <c:v>2018.III.</c:v>
                </c:pt>
                <c:pt idx="12">
                  <c:v>2018.IV.</c:v>
                </c:pt>
                <c:pt idx="13">
                  <c:v>2019.I.</c:v>
                </c:pt>
                <c:pt idx="14">
                  <c:v>2019.II.</c:v>
                </c:pt>
                <c:pt idx="15">
                  <c:v>2019.III.</c:v>
                </c:pt>
                <c:pt idx="16">
                  <c:v>2019.IV.</c:v>
                </c:pt>
                <c:pt idx="17">
                  <c:v>2020.I.</c:v>
                </c:pt>
                <c:pt idx="18">
                  <c:v>2020.II.</c:v>
                </c:pt>
                <c:pt idx="19">
                  <c:v>2020.III.</c:v>
                </c:pt>
                <c:pt idx="20">
                  <c:v>2020.IV.</c:v>
                </c:pt>
                <c:pt idx="21">
                  <c:v>2021.I.</c:v>
                </c:pt>
              </c:strCache>
            </c:strRef>
          </c:cat>
          <c:val>
            <c:numRef>
              <c:f>Idősorok_ábrák_Állományi!$BJ$52:$CE$52</c:f>
              <c:numCache>
                <c:formatCode>#\ ##0.0</c:formatCode>
                <c:ptCount val="22"/>
                <c:pt idx="0">
                  <c:v>107.572</c:v>
                </c:pt>
                <c:pt idx="1">
                  <c:v>118.36799999999999</c:v>
                </c:pt>
                <c:pt idx="2">
                  <c:v>122.59099999999999</c:v>
                </c:pt>
                <c:pt idx="3">
                  <c:v>135.02099999999999</c:v>
                </c:pt>
                <c:pt idx="4">
                  <c:v>136.417</c:v>
                </c:pt>
                <c:pt idx="5">
                  <c:v>143.792</c:v>
                </c:pt>
                <c:pt idx="6">
                  <c:v>160.19399999999999</c:v>
                </c:pt>
                <c:pt idx="7">
                  <c:v>171.755</c:v>
                </c:pt>
                <c:pt idx="8">
                  <c:v>158.61699999999999</c:v>
                </c:pt>
                <c:pt idx="9">
                  <c:v>161.648</c:v>
                </c:pt>
                <c:pt idx="10">
                  <c:v>172.74</c:v>
                </c:pt>
                <c:pt idx="11">
                  <c:v>186.71</c:v>
                </c:pt>
                <c:pt idx="12">
                  <c:v>181.505</c:v>
                </c:pt>
                <c:pt idx="13">
                  <c:v>203.14</c:v>
                </c:pt>
                <c:pt idx="14">
                  <c:v>206.958</c:v>
                </c:pt>
                <c:pt idx="15">
                  <c:v>211.417</c:v>
                </c:pt>
                <c:pt idx="16">
                  <c:v>180.39</c:v>
                </c:pt>
                <c:pt idx="17">
                  <c:v>191.274</c:v>
                </c:pt>
                <c:pt idx="18">
                  <c:v>189.017</c:v>
                </c:pt>
                <c:pt idx="19">
                  <c:v>198.874</c:v>
                </c:pt>
                <c:pt idx="20">
                  <c:v>203.19300000000001</c:v>
                </c:pt>
                <c:pt idx="21">
                  <c:v>193.56700000000001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0E54-4891-8A66-04090631178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65301968"/>
        <c:axId val="565304712"/>
      </c:barChart>
      <c:catAx>
        <c:axId val="565301968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1200">
                <a:latin typeface="Times New Roman" panose="02020603050405020304" pitchFamily="18" charset="0"/>
                <a:cs typeface="Times New Roman" panose="02020603050405020304" pitchFamily="18" charset="0"/>
              </a:defRPr>
            </a:pPr>
            <a:endParaRPr lang="hu-HU"/>
          </a:p>
        </c:txPr>
        <c:crossAx val="565304712"/>
        <c:crosses val="autoZero"/>
        <c:auto val="1"/>
        <c:lblAlgn val="ctr"/>
        <c:lblOffset val="100"/>
        <c:noMultiLvlLbl val="0"/>
      </c:catAx>
      <c:valAx>
        <c:axId val="565304712"/>
        <c:scaling>
          <c:orientation val="minMax"/>
        </c:scaling>
        <c:delete val="0"/>
        <c:axPos val="l"/>
        <c:majorGridlines/>
        <c:numFmt formatCode="#\ ##0.0" sourceLinked="1"/>
        <c:majorTickMark val="out"/>
        <c:minorTickMark val="none"/>
        <c:tickLblPos val="nextTo"/>
        <c:txPr>
          <a:bodyPr/>
          <a:lstStyle/>
          <a:p>
            <a:pPr>
              <a:defRPr>
                <a:latin typeface="Times New Roman" panose="02020603050405020304" pitchFamily="18" charset="0"/>
                <a:cs typeface="Times New Roman" panose="02020603050405020304" pitchFamily="18" charset="0"/>
              </a:defRPr>
            </a:pPr>
            <a:endParaRPr lang="hu-HU"/>
          </a:p>
        </c:txPr>
        <c:crossAx val="565301968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3.1733529135318794E-2"/>
          <c:y val="0.92063375235470146"/>
          <c:w val="0.9244478468462437"/>
          <c:h val="6.1183029263576355E-2"/>
        </c:manualLayout>
      </c:layout>
      <c:overlay val="0"/>
      <c:txPr>
        <a:bodyPr/>
        <a:lstStyle/>
        <a:p>
          <a:pPr>
            <a:defRPr sz="1400">
              <a:latin typeface="Times New Roman" panose="02020603050405020304" pitchFamily="18" charset="0"/>
              <a:cs typeface="Times New Roman" panose="02020603050405020304" pitchFamily="18" charset="0"/>
            </a:defRPr>
          </a:pPr>
          <a:endParaRPr lang="hu-HU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3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hu-H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37961827667529974"/>
          <c:y val="9.278566880927834E-2"/>
          <c:w val="0.28045128130046043"/>
          <c:h val="0.83002291571184528"/>
        </c:manualLayout>
      </c:layout>
      <c:pieChart>
        <c:varyColors val="1"/>
        <c:ser>
          <c:idx val="0"/>
          <c:order val="0"/>
          <c:explosion val="25"/>
          <c:dLbls>
            <c:dLbl>
              <c:idx val="0"/>
              <c:layout>
                <c:manualLayout>
                  <c:x val="5.0352479767926152E-2"/>
                  <c:y val="-2.1580888241447858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Húsfeldolgozás, -tartósítás</a:t>
                    </a:r>
                    <a:r>
                      <a:rPr lang="en-US" baseline="0"/>
                      <a:t>;</a:t>
                    </a:r>
                  </a:p>
                  <a:p>
                    <a:fld id="{AA7575E1-9007-452F-BCEF-976E758E5A5D}" type="VALUE">
                      <a:rPr lang="en-US" baseline="0"/>
                      <a:pPr/>
                      <a:t>[ÉRTÉK]</a:t>
                    </a:fld>
                    <a:r>
                      <a:rPr lang="en-US" baseline="0"/>
                      <a:t>%</a:t>
                    </a:r>
                  </a:p>
                </c:rich>
              </c:tx>
              <c:dLblPos val="bestFit"/>
              <c:showLegendKey val="0"/>
              <c:showVal val="1"/>
              <c:showCatName val="0"/>
              <c:showSerName val="1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0-06F2-4323-B021-DC92890EEE14}"/>
                </c:ext>
                <c:ext xmlns:c15="http://schemas.microsoft.com/office/drawing/2012/chart" uri="{CE6537A1-D6FC-4f65-9D91-7224C49458BB}">
                  <c15:dlblFieldTable/>
                  <c15:showDataLabelsRange val="0"/>
                </c:ext>
              </c:extLst>
            </c:dLbl>
            <c:dLbl>
              <c:idx val="1"/>
              <c:layout>
                <c:manualLayout>
                  <c:x val="7.9121284570130956E-2"/>
                  <c:y val="-5.112900863627854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Baromfihús feldolgozása,-</a:t>
                    </a:r>
                    <a:r>
                      <a:rPr lang="en-US" baseline="0"/>
                      <a:t> tartósítása;</a:t>
                    </a:r>
                  </a:p>
                  <a:p>
                    <a:fld id="{4525A9FA-97CC-4864-AF27-C33828990ED5}" type="VALUE">
                      <a:rPr lang="en-US" baseline="0"/>
                      <a:pPr/>
                      <a:t>[ÉRTÉK]</a:t>
                    </a:fld>
                    <a:r>
                      <a:rPr lang="en-US" baseline="0"/>
                      <a:t>%</a:t>
                    </a:r>
                  </a:p>
                </c:rich>
              </c:tx>
              <c:dLblPos val="bestFit"/>
              <c:showLegendKey val="0"/>
              <c:showVal val="1"/>
              <c:showCatName val="0"/>
              <c:showSerName val="1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06F2-4323-B021-DC92890EEE14}"/>
                </c:ext>
                <c:ext xmlns:c15="http://schemas.microsoft.com/office/drawing/2012/chart" uri="{CE6537A1-D6FC-4f65-9D91-7224C49458BB}">
                  <c15:dlblFieldTable/>
                  <c15:showDataLabelsRange val="0"/>
                </c:ext>
              </c:extLst>
            </c:dLbl>
            <c:dLbl>
              <c:idx val="2"/>
              <c:layout>
                <c:manualLayout>
                  <c:x val="3.8134687855431372E-2"/>
                  <c:y val="-5.2018249239615018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Hús-, baromfihús készítmény gyártása</a:t>
                    </a:r>
                    <a:r>
                      <a:rPr lang="en-US" baseline="0"/>
                      <a:t>;</a:t>
                    </a:r>
                  </a:p>
                  <a:p>
                    <a:fld id="{51EE1CEB-D543-4812-A49F-BE0A9618E2E3}" type="VALUE">
                      <a:rPr lang="en-US" baseline="0"/>
                      <a:pPr/>
                      <a:t>[ÉRTÉK]</a:t>
                    </a:fld>
                    <a:r>
                      <a:rPr lang="en-US" baseline="0"/>
                      <a:t>%</a:t>
                    </a:r>
                  </a:p>
                </c:rich>
              </c:tx>
              <c:dLblPos val="bestFit"/>
              <c:showLegendKey val="0"/>
              <c:showVal val="1"/>
              <c:showCatName val="0"/>
              <c:showSerName val="1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2-06F2-4323-B021-DC92890EEE14}"/>
                </c:ext>
                <c:ext xmlns:c15="http://schemas.microsoft.com/office/drawing/2012/chart" uri="{CE6537A1-D6FC-4f65-9D91-7224C49458BB}">
                  <c15:dlblFieldTable/>
                  <c15:showDataLabelsRange val="0"/>
                </c:ext>
              </c:extLst>
            </c:dLbl>
            <c:dLbl>
              <c:idx val="3"/>
              <c:layout>
                <c:manualLayout>
                  <c:x val="9.2433196754327082E-2"/>
                  <c:y val="-4.9800008332986125E-3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Gyümölcs-, zöldséglé gyártása</a:t>
                    </a:r>
                  </a:p>
                  <a:p>
                    <a:r>
                      <a:rPr lang="en-US" baseline="0"/>
                      <a:t> </a:t>
                    </a:r>
                    <a:fld id="{B1CCD3FC-AE00-4F7D-93F6-4CB68508406F}" type="VALUE">
                      <a:rPr lang="en-US" baseline="0"/>
                      <a:pPr/>
                      <a:t>[ÉRTÉK]</a:t>
                    </a:fld>
                    <a:r>
                      <a:rPr lang="en-US" baseline="0"/>
                      <a:t>%</a:t>
                    </a:r>
                  </a:p>
                </c:rich>
              </c:tx>
              <c:dLblPos val="bestFit"/>
              <c:showLegendKey val="0"/>
              <c:showVal val="1"/>
              <c:showCatName val="0"/>
              <c:showSerName val="1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06F2-4323-B021-DC92890EEE14}"/>
                </c:ext>
                <c:ext xmlns:c15="http://schemas.microsoft.com/office/drawing/2012/chart" uri="{CE6537A1-D6FC-4f65-9D91-7224C49458BB}">
                  <c15:dlblFieldTable/>
                  <c15:showDataLabelsRange val="0"/>
                </c:ext>
              </c:extLst>
            </c:dLbl>
            <c:dLbl>
              <c:idx val="4"/>
              <c:layout>
                <c:manualLayout>
                  <c:x val="8.6439453109022277E-2"/>
                  <c:y val="-2.1732427815507687E-3"/>
                </c:manualLayout>
              </c:layout>
              <c:tx>
                <c:rich>
                  <a:bodyPr/>
                  <a:lstStyle/>
                  <a:p>
                    <a:r>
                      <a:rPr lang="en-US" baseline="0"/>
                      <a:t>Egyéb gyümölcs-, zöldség feldolgozás, tartósítás;</a:t>
                    </a:r>
                  </a:p>
                  <a:p>
                    <a:fld id="{F1BC3CD0-DFE8-4636-BC4C-859239A12BBB}" type="VALUE">
                      <a:rPr lang="en-US" baseline="0"/>
                      <a:pPr/>
                      <a:t>[ÉRTÉK]</a:t>
                    </a:fld>
                    <a:r>
                      <a:rPr lang="en-US" baseline="0"/>
                      <a:t>%</a:t>
                    </a:r>
                  </a:p>
                </c:rich>
              </c:tx>
              <c:dLblPos val="bestFit"/>
              <c:showLegendKey val="0"/>
              <c:showVal val="1"/>
              <c:showCatName val="0"/>
              <c:showSerName val="1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4-06F2-4323-B021-DC92890EEE14}"/>
                </c:ext>
                <c:ext xmlns:c15="http://schemas.microsoft.com/office/drawing/2012/chart" uri="{CE6537A1-D6FC-4f65-9D91-7224C49458BB}">
                  <c15:dlblFieldTable/>
                  <c15:showDataLabelsRange val="0"/>
                </c:ext>
              </c:extLst>
            </c:dLbl>
            <c:dLbl>
              <c:idx val="5"/>
              <c:layout>
                <c:manualLayout>
                  <c:x val="9.4538210115738819E-2"/>
                  <c:y val="1.7099704178992543E-2"/>
                </c:manualLayout>
              </c:layout>
              <c:tx>
                <c:rich>
                  <a:bodyPr/>
                  <a:lstStyle/>
                  <a:p>
                    <a:r>
                      <a:rPr lang="en-US" baseline="0"/>
                      <a:t>Olaj gyártása;</a:t>
                    </a:r>
                  </a:p>
                  <a:p>
                    <a:fld id="{39D82D19-D4AC-44E0-BA43-A98CE23A46C9}" type="VALUE">
                      <a:rPr lang="en-US" baseline="0"/>
                      <a:pPr/>
                      <a:t>[ÉRTÉK]</a:t>
                    </a:fld>
                    <a:r>
                      <a:rPr lang="en-US" baseline="0"/>
                      <a:t>%</a:t>
                    </a:r>
                  </a:p>
                </c:rich>
              </c:tx>
              <c:dLblPos val="bestFit"/>
              <c:showLegendKey val="0"/>
              <c:showVal val="1"/>
              <c:showCatName val="0"/>
              <c:showSerName val="1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5-06F2-4323-B021-DC92890EEE14}"/>
                </c:ext>
                <c:ext xmlns:c15="http://schemas.microsoft.com/office/drawing/2012/chart" uri="{CE6537A1-D6FC-4f65-9D91-7224C49458BB}">
                  <c15:dlblFieldTable/>
                  <c15:showDataLabelsRange val="0"/>
                </c:ext>
              </c:extLst>
            </c:dLbl>
            <c:dLbl>
              <c:idx val="6"/>
              <c:layout>
                <c:manualLayout>
                  <c:x val="7.858087983575579E-2"/>
                  <c:y val="3.3588490192937893E-2"/>
                </c:manualLayout>
              </c:layout>
              <c:tx>
                <c:rich>
                  <a:bodyPr/>
                  <a:lstStyle/>
                  <a:p>
                    <a:r>
                      <a:rPr lang="en-US" baseline="0"/>
                      <a:t>Tejtermék gyártása;</a:t>
                    </a:r>
                  </a:p>
                  <a:p>
                    <a:fld id="{803E805C-C78E-4C2D-9FE7-60F698E77F78}" type="VALUE">
                      <a:rPr lang="en-US" baseline="0"/>
                      <a:pPr/>
                      <a:t>[ÉRTÉK]</a:t>
                    </a:fld>
                    <a:r>
                      <a:rPr lang="en-US" baseline="0"/>
                      <a:t>%</a:t>
                    </a:r>
                  </a:p>
                </c:rich>
              </c:tx>
              <c:dLblPos val="bestFit"/>
              <c:showLegendKey val="0"/>
              <c:showVal val="1"/>
              <c:showCatName val="0"/>
              <c:showSerName val="1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6-06F2-4323-B021-DC92890EEE14}"/>
                </c:ext>
                <c:ext xmlns:c15="http://schemas.microsoft.com/office/drawing/2012/chart" uri="{CE6537A1-D6FC-4f65-9D91-7224C49458BB}">
                  <c15:dlblFieldTable/>
                  <c15:showDataLabelsRange val="0"/>
                </c:ext>
              </c:extLst>
            </c:dLbl>
            <c:dLbl>
              <c:idx val="7"/>
              <c:layout>
                <c:manualLayout>
                  <c:x val="3.4831043621026403E-2"/>
                  <c:y val="3.356544589665815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Malomipari termék gyártása</a:t>
                    </a:r>
                    <a:r>
                      <a:rPr lang="en-US" baseline="0"/>
                      <a:t>;</a:t>
                    </a:r>
                  </a:p>
                  <a:p>
                    <a:fld id="{0E22C0BC-B73A-4854-9B15-5B10CDA48DFE}" type="VALUE">
                      <a:rPr lang="en-US" baseline="0"/>
                      <a:pPr/>
                      <a:t>[ÉRTÉK]</a:t>
                    </a:fld>
                    <a:endParaRPr lang="hu-HU"/>
                  </a:p>
                </c:rich>
              </c:tx>
              <c:dLblPos val="bestFit"/>
              <c:showLegendKey val="0"/>
              <c:showVal val="1"/>
              <c:showCatName val="0"/>
              <c:showSerName val="1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7-06F2-4323-B021-DC92890EEE14}"/>
                </c:ext>
                <c:ext xmlns:c15="http://schemas.microsoft.com/office/drawing/2012/chart" uri="{CE6537A1-D6FC-4f65-9D91-7224C49458BB}">
                  <c15:dlblFieldTable/>
                  <c15:showDataLabelsRange val="0"/>
                </c:ext>
              </c:extLst>
            </c:dLbl>
            <c:dLbl>
              <c:idx val="8"/>
              <c:layout>
                <c:manualLayout>
                  <c:x val="2.6730726754589141E-2"/>
                  <c:y val="2.716008377458717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Kenyér, friss pékáru</a:t>
                    </a:r>
                    <a:r>
                      <a:rPr lang="en-US" baseline="0"/>
                      <a:t> gyártása;</a:t>
                    </a:r>
                  </a:p>
                  <a:p>
                    <a:fld id="{4D7C319C-DF25-42E8-A2F2-BB67954763A8}" type="VALUE">
                      <a:rPr lang="en-US" baseline="0"/>
                      <a:pPr/>
                      <a:t>[ÉRTÉK]</a:t>
                    </a:fld>
                    <a:r>
                      <a:rPr lang="en-US" baseline="0"/>
                      <a:t>%</a:t>
                    </a:r>
                  </a:p>
                </c:rich>
              </c:tx>
              <c:dLblPos val="bestFit"/>
              <c:showLegendKey val="0"/>
              <c:showVal val="1"/>
              <c:showCatName val="0"/>
              <c:showSerName val="1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8-06F2-4323-B021-DC92890EEE14}"/>
                </c:ext>
                <c:ext xmlns:c15="http://schemas.microsoft.com/office/drawing/2012/chart" uri="{CE6537A1-D6FC-4f65-9D91-7224C49458BB}">
                  <c15:dlblFieldTable/>
                  <c15:showDataLabelsRange val="0"/>
                </c:ext>
              </c:extLst>
            </c:dLbl>
            <c:dLbl>
              <c:idx val="9"/>
              <c:layout>
                <c:manualLayout>
                  <c:x val="-3.9007446700979886E-2"/>
                  <c:y val="6.0490515938939851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Tésztafélék</a:t>
                    </a:r>
                    <a:r>
                      <a:rPr lang="en-US" baseline="0"/>
                      <a:t>;</a:t>
                    </a:r>
                  </a:p>
                  <a:p>
                    <a:fld id="{F86AD6D7-900C-4B45-8439-0723B27AA3E8}" type="VALUE">
                      <a:rPr lang="en-US" baseline="0"/>
                      <a:pPr/>
                      <a:t>[ÉRTÉK]</a:t>
                    </a:fld>
                    <a:r>
                      <a:rPr lang="en-US" baseline="0"/>
                      <a:t>%</a:t>
                    </a:r>
                  </a:p>
                </c:rich>
              </c:tx>
              <c:dLblPos val="bestFit"/>
              <c:showLegendKey val="0"/>
              <c:showVal val="1"/>
              <c:showCatName val="0"/>
              <c:showSerName val="1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9-06F2-4323-B021-DC92890EEE14}"/>
                </c:ext>
                <c:ext xmlns:c15="http://schemas.microsoft.com/office/drawing/2012/chart" uri="{CE6537A1-D6FC-4f65-9D91-7224C49458BB}">
                  <c15:dlblFieldTable/>
                  <c15:showDataLabelsRange val="0"/>
                </c:ext>
              </c:extLst>
            </c:dLbl>
            <c:dLbl>
              <c:idx val="10"/>
              <c:layout>
                <c:manualLayout>
                  <c:x val="-0.10294692858074808"/>
                  <c:y val="3.0659198283218971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Tartósított lisztesáru</a:t>
                    </a:r>
                    <a:r>
                      <a:rPr lang="en-US" baseline="0"/>
                      <a:t>;</a:t>
                    </a:r>
                  </a:p>
                  <a:p>
                    <a:fld id="{541B67D2-EB3E-4FBA-80B9-49DC4B5A447B}" type="VALUE">
                      <a:rPr lang="en-US" baseline="0"/>
                      <a:pPr/>
                      <a:t>[ÉRTÉK]</a:t>
                    </a:fld>
                    <a:r>
                      <a:rPr lang="en-US" baseline="0"/>
                      <a:t>%</a:t>
                    </a:r>
                  </a:p>
                </c:rich>
              </c:tx>
              <c:dLblPos val="bestFit"/>
              <c:showLegendKey val="0"/>
              <c:showVal val="1"/>
              <c:showCatName val="0"/>
              <c:showSerName val="1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A-06F2-4323-B021-DC92890EEE14}"/>
                </c:ext>
                <c:ext xmlns:c15="http://schemas.microsoft.com/office/drawing/2012/chart" uri="{CE6537A1-D6FC-4f65-9D91-7224C49458BB}">
                  <c15:dlblFieldTable/>
                  <c15:showDataLabelsRange val="0"/>
                </c:ext>
              </c:extLst>
            </c:dLbl>
            <c:dLbl>
              <c:idx val="11"/>
              <c:layout>
                <c:manualLayout>
                  <c:x val="-9.805219276760295E-2"/>
                  <c:y val="-2.7903024268691162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Haszonállat eledel</a:t>
                    </a:r>
                    <a:r>
                      <a:rPr lang="en-US" baseline="0"/>
                      <a:t>;</a:t>
                    </a:r>
                  </a:p>
                  <a:p>
                    <a:fld id="{BF16F994-F2A5-4355-A0DD-3CE4D9A23901}" type="VALUE">
                      <a:rPr lang="en-US" baseline="0"/>
                      <a:pPr/>
                      <a:t>[ÉRTÉK]</a:t>
                    </a:fld>
                    <a:r>
                      <a:rPr lang="en-US" baseline="0"/>
                      <a:t>%</a:t>
                    </a:r>
                  </a:p>
                </c:rich>
              </c:tx>
              <c:dLblPos val="bestFit"/>
              <c:showLegendKey val="0"/>
              <c:showVal val="1"/>
              <c:showCatName val="0"/>
              <c:showSerName val="1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B-06F2-4323-B021-DC92890EEE14}"/>
                </c:ext>
                <c:ext xmlns:c15="http://schemas.microsoft.com/office/drawing/2012/chart" uri="{CE6537A1-D6FC-4f65-9D91-7224C49458BB}">
                  <c15:dlblFieldTable/>
                  <c15:showDataLabelsRange val="0"/>
                </c:ext>
              </c:extLst>
            </c:dLbl>
            <c:dLbl>
              <c:idx val="12"/>
              <c:layout>
                <c:manualLayout>
                  <c:x val="-0.10324399519868245"/>
                  <c:y val="-6.5639487791950765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Hobbiállat eledel</a:t>
                    </a:r>
                    <a:r>
                      <a:rPr lang="en-US" baseline="0"/>
                      <a:t>;</a:t>
                    </a:r>
                  </a:p>
                  <a:p>
                    <a:fld id="{E09A7784-1346-40C5-B659-58D78A61A3D8}" type="VALUE">
                      <a:rPr lang="en-US" baseline="0"/>
                      <a:pPr/>
                      <a:t>[ÉRTÉK]</a:t>
                    </a:fld>
                    <a:r>
                      <a:rPr lang="en-US" baseline="0"/>
                      <a:t>%</a:t>
                    </a:r>
                  </a:p>
                </c:rich>
              </c:tx>
              <c:dLblPos val="bestFit"/>
              <c:showLegendKey val="0"/>
              <c:showVal val="1"/>
              <c:showCatName val="0"/>
              <c:showSerName val="1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C-06F2-4323-B021-DC92890EEE14}"/>
                </c:ext>
                <c:ext xmlns:c15="http://schemas.microsoft.com/office/drawing/2012/chart" uri="{CE6537A1-D6FC-4f65-9D91-7224C49458BB}">
                  <c15:dlblFieldTable/>
                  <c15:showDataLabelsRange val="0"/>
                </c:ext>
              </c:extLst>
            </c:dLbl>
            <c:dLbl>
              <c:idx val="13"/>
              <c:layout>
                <c:manualLayout>
                  <c:x val="-0.10261180138562689"/>
                  <c:y val="-0.10328758310468376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Szőlőbor termelés</a:t>
                    </a:r>
                    <a:r>
                      <a:rPr lang="en-US" baseline="0"/>
                      <a:t>;</a:t>
                    </a:r>
                  </a:p>
                  <a:p>
                    <a:fld id="{DD0ED87E-23A5-481A-A79E-8F7D1BC52A1C}" type="VALUE">
                      <a:rPr lang="en-US" baseline="0"/>
                      <a:pPr/>
                      <a:t>[ÉRTÉK]</a:t>
                    </a:fld>
                    <a:r>
                      <a:rPr lang="en-US" baseline="0"/>
                      <a:t>%</a:t>
                    </a:r>
                  </a:p>
                </c:rich>
              </c:tx>
              <c:dLblPos val="bestFit"/>
              <c:showLegendKey val="0"/>
              <c:showVal val="1"/>
              <c:showCatName val="0"/>
              <c:showSerName val="1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D-06F2-4323-B021-DC92890EEE14}"/>
                </c:ext>
                <c:ext xmlns:c15="http://schemas.microsoft.com/office/drawing/2012/chart" uri="{CE6537A1-D6FC-4f65-9D91-7224C49458BB}">
                  <c15:dlblFieldTable/>
                  <c15:showDataLabelsRange val="0"/>
                </c:ext>
              </c:extLst>
            </c:dLbl>
            <c:dLbl>
              <c:idx val="14"/>
              <c:layout>
                <c:manualLayout>
                  <c:x val="3.2354956963816938E-3"/>
                  <c:y val="-3.5371442856547641E-2"/>
                </c:manualLayout>
              </c:layout>
              <c:tx>
                <c:rich>
                  <a:bodyPr/>
                  <a:lstStyle/>
                  <a:p>
                    <a:r>
                      <a:rPr lang="en-US" baseline="0"/>
                      <a:t>Egyéb élelmiszeripar</a:t>
                    </a:r>
                  </a:p>
                  <a:p>
                    <a:fld id="{DB0DBAC5-048D-40E4-A92A-6926F26B1441}" type="VALUE">
                      <a:rPr lang="en-US" baseline="0"/>
                      <a:pPr/>
                      <a:t>[ÉRTÉK]</a:t>
                    </a:fld>
                    <a:r>
                      <a:rPr lang="en-US" baseline="0"/>
                      <a:t>%</a:t>
                    </a:r>
                  </a:p>
                </c:rich>
              </c:tx>
              <c:dLblPos val="bestFit"/>
              <c:showLegendKey val="0"/>
              <c:showVal val="1"/>
              <c:showCatName val="0"/>
              <c:showSerName val="1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E-06F2-4323-B021-DC92890EEE14}"/>
                </c:ext>
                <c:ext xmlns:c15="http://schemas.microsoft.com/office/drawing/2012/chart" uri="{CE6537A1-D6FC-4f65-9D91-7224C49458BB}">
                  <c15:dlblFieldTable/>
                  <c15:showDataLabelsRange val="0"/>
                </c:ext>
              </c:extLst>
            </c:dLbl>
            <c:spPr>
              <a:noFill/>
              <a:ln>
                <a:noFill/>
              </a:ln>
              <a:effectLst/>
            </c:spPr>
            <c:dLblPos val="bestFit"/>
            <c:showLegendKey val="0"/>
            <c:showVal val="1"/>
            <c:showCatName val="0"/>
            <c:showSerName val="1"/>
            <c:showPercent val="0"/>
            <c:showBubbleSize val="0"/>
            <c:showLeaderLines val="1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Idősorok_ábrák_Állományi!$DO$32:$DO$46</c:f>
              <c:strCache>
                <c:ptCount val="15"/>
                <c:pt idx="0">
                  <c:v>Egyéb élelmiszeripar**</c:v>
                </c:pt>
                <c:pt idx="1">
                  <c:v>Egyéb gyümölcs-, zöldség feldolgozás, tartósítás</c:v>
                </c:pt>
                <c:pt idx="2">
                  <c:v>Baromfihúsfeldolgozás, tartósítása</c:v>
                </c:pt>
                <c:pt idx="3">
                  <c:v>Húsfeldolgozás, tartósítás</c:v>
                </c:pt>
                <c:pt idx="4">
                  <c:v>Olaj gyártása</c:v>
                </c:pt>
                <c:pt idx="5">
                  <c:v>Malomipari termék gyártása</c:v>
                </c:pt>
                <c:pt idx="6">
                  <c:v>Haszonállat eledel gyártása</c:v>
                </c:pt>
                <c:pt idx="7">
                  <c:v>Szőlőbor termelése</c:v>
                </c:pt>
                <c:pt idx="8">
                  <c:v>Tejtermék gyártása</c:v>
                </c:pt>
                <c:pt idx="9">
                  <c:v>Kenyér, friss pékáru gyártása</c:v>
                </c:pt>
                <c:pt idx="10">
                  <c:v>Hús-, baromfihús készítmény gyártása</c:v>
                </c:pt>
                <c:pt idx="11">
                  <c:v>Tésztafélék gyártása</c:v>
                </c:pt>
                <c:pt idx="12">
                  <c:v>Tartósított lisztesáru gyártása</c:v>
                </c:pt>
                <c:pt idx="13">
                  <c:v>Hobbiállat eledel gyártása</c:v>
                </c:pt>
                <c:pt idx="14">
                  <c:v>Gyümölcs-, zöldséglé gyártása</c:v>
                </c:pt>
              </c:strCache>
            </c:strRef>
          </c:cat>
          <c:val>
            <c:numRef>
              <c:f>Idősorok_ábrák_Állományi!$DP$32:$DP$46</c:f>
              <c:numCache>
                <c:formatCode>0.0</c:formatCode>
                <c:ptCount val="15"/>
                <c:pt idx="0">
                  <c:v>30.119658675864088</c:v>
                </c:pt>
                <c:pt idx="1">
                  <c:v>11.628610706645084</c:v>
                </c:pt>
                <c:pt idx="2">
                  <c:v>11.353989571555237</c:v>
                </c:pt>
                <c:pt idx="3">
                  <c:v>7.9490454149821446</c:v>
                </c:pt>
                <c:pt idx="4">
                  <c:v>7.5130355559532429</c:v>
                </c:pt>
                <c:pt idx="5">
                  <c:v>7.2888483970943527</c:v>
                </c:pt>
                <c:pt idx="6">
                  <c:v>6.0520771477146091</c:v>
                </c:pt>
                <c:pt idx="7">
                  <c:v>4.8507723719424405</c:v>
                </c:pt>
                <c:pt idx="8">
                  <c:v>3.5982201687097848</c:v>
                </c:pt>
                <c:pt idx="9">
                  <c:v>3.3022866114062133</c:v>
                </c:pt>
                <c:pt idx="10">
                  <c:v>2.213726176047115</c:v>
                </c:pt>
                <c:pt idx="11">
                  <c:v>2.1006564551422318</c:v>
                </c:pt>
                <c:pt idx="12">
                  <c:v>0.7709890753499874</c:v>
                </c:pt>
                <c:pt idx="13">
                  <c:v>0.73178072608656741</c:v>
                </c:pt>
                <c:pt idx="14">
                  <c:v>0.52646563575280847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E-15C2-4172-AA16-9F206ED08AD8}"/>
            </c:ext>
          </c:extLst>
        </c:ser>
        <c:dLbls>
          <c:dLblPos val="bestFit"/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plotVisOnly val="1"/>
    <c:dispBlanksAs val="gap"/>
    <c:showDLblsOverMax val="0"/>
  </c:chart>
  <c:spPr>
    <a:ln>
      <a:noFill/>
    </a:ln>
  </c:spPr>
  <c:txPr>
    <a:bodyPr/>
    <a:lstStyle/>
    <a:p>
      <a:pPr>
        <a:defRPr>
          <a:latin typeface="Times New Roman" panose="02020603050405020304" pitchFamily="18" charset="0"/>
          <a:cs typeface="Times New Roman" panose="02020603050405020304" pitchFamily="18" charset="0"/>
        </a:defRPr>
      </a:pPr>
      <a:endParaRPr lang="hu-HU"/>
    </a:p>
  </c:txPr>
  <c:printSettings>
    <c:headerFooter/>
    <c:pageMargins b="0.75" l="0.7" r="0.7" t="0.75" header="0.3" footer="0.3"/>
    <c:pageSetup/>
  </c:printSettings>
</c:chartSpace>
</file>

<file path=xl/charts/chart3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hu-H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Idősorok_ábrák_Állományi!$AK$496</c:f>
              <c:strCache>
                <c:ptCount val="1"/>
                <c:pt idx="0">
                  <c:v>Mgi devizahitel aránya/mgi összes (%)</c:v>
                </c:pt>
              </c:strCache>
            </c:strRef>
          </c:tx>
          <c:spPr>
            <a:solidFill>
              <a:srgbClr val="92D050"/>
            </a:solidFill>
          </c:spPr>
          <c:invertIfNegative val="0"/>
          <c:cat>
            <c:strRef>
              <c:f>Idősorok_ábrák_Állományi!$AL$484:$AW$484</c:f>
              <c:strCache>
                <c:ptCount val="12"/>
                <c:pt idx="0">
                  <c:v>2016. I. </c:v>
                </c:pt>
                <c:pt idx="1">
                  <c:v>2016.II.</c:v>
                </c:pt>
                <c:pt idx="2">
                  <c:v>2016.III.</c:v>
                </c:pt>
                <c:pt idx="3">
                  <c:v>2016.IV.</c:v>
                </c:pt>
                <c:pt idx="4">
                  <c:v>2017.I.</c:v>
                </c:pt>
                <c:pt idx="5">
                  <c:v>2017.II.</c:v>
                </c:pt>
                <c:pt idx="6">
                  <c:v>2017.III.</c:v>
                </c:pt>
                <c:pt idx="7">
                  <c:v>2017.IV.</c:v>
                </c:pt>
                <c:pt idx="8">
                  <c:v>2018.I.R</c:v>
                </c:pt>
                <c:pt idx="9">
                  <c:v>2018.I.Ú</c:v>
                </c:pt>
                <c:pt idx="10">
                  <c:v>2018.II.</c:v>
                </c:pt>
                <c:pt idx="11">
                  <c:v>2018.III.</c:v>
                </c:pt>
              </c:strCache>
            </c:strRef>
          </c:cat>
          <c:val>
            <c:numRef>
              <c:f>Idősorok_ábrák_Állományi!$AL$496:$AW$496</c:f>
              <c:numCache>
                <c:formatCode>0.00</c:formatCode>
                <c:ptCount val="12"/>
                <c:pt idx="0">
                  <c:v>7.1083327202575974</c:v>
                </c:pt>
                <c:pt idx="1">
                  <c:v>6.4003620947748088</c:v>
                </c:pt>
                <c:pt idx="2">
                  <c:v>6.716498192653245</c:v>
                </c:pt>
                <c:pt idx="3">
                  <c:v>6.6863133693985155</c:v>
                </c:pt>
                <c:pt idx="4">
                  <c:v>6.7995748360520736</c:v>
                </c:pt>
                <c:pt idx="5">
                  <c:v>6.7466401639031215</c:v>
                </c:pt>
                <c:pt idx="6">
                  <c:v>7.2542015773810089</c:v>
                </c:pt>
                <c:pt idx="7">
                  <c:v>7.5179672387643182</c:v>
                </c:pt>
                <c:pt idx="8">
                  <c:v>8.0585078998482178</c:v>
                </c:pt>
                <c:pt idx="9">
                  <c:v>7.614343561274775</c:v>
                </c:pt>
                <c:pt idx="10">
                  <c:v>7.5578401384812963</c:v>
                </c:pt>
                <c:pt idx="11">
                  <c:v>7.6858993952688328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EE14-4070-9403-CBF0009FF9B2}"/>
            </c:ext>
          </c:extLst>
        </c:ser>
        <c:ser>
          <c:idx val="1"/>
          <c:order val="1"/>
          <c:tx>
            <c:strRef>
              <c:f>Idősorok_ábrák_Állományi!$AK$515</c:f>
              <c:strCache>
                <c:ptCount val="1"/>
                <c:pt idx="0">
                  <c:v>ÉLIP devizahitel aránya/ÉLIP összes (%)</c:v>
                </c:pt>
              </c:strCache>
            </c:strRef>
          </c:tx>
          <c:spPr>
            <a:solidFill>
              <a:schemeClr val="accent6"/>
            </a:solidFill>
          </c:spPr>
          <c:invertIfNegative val="0"/>
          <c:cat>
            <c:strRef>
              <c:f>Idősorok_ábrák_Állományi!$AL$484:$AW$484</c:f>
              <c:strCache>
                <c:ptCount val="12"/>
                <c:pt idx="0">
                  <c:v>2016. I. </c:v>
                </c:pt>
                <c:pt idx="1">
                  <c:v>2016.II.</c:v>
                </c:pt>
                <c:pt idx="2">
                  <c:v>2016.III.</c:v>
                </c:pt>
                <c:pt idx="3">
                  <c:v>2016.IV.</c:v>
                </c:pt>
                <c:pt idx="4">
                  <c:v>2017.I.</c:v>
                </c:pt>
                <c:pt idx="5">
                  <c:v>2017.II.</c:v>
                </c:pt>
                <c:pt idx="6">
                  <c:v>2017.III.</c:v>
                </c:pt>
                <c:pt idx="7">
                  <c:v>2017.IV.</c:v>
                </c:pt>
                <c:pt idx="8">
                  <c:v>2018.I.R</c:v>
                </c:pt>
                <c:pt idx="9">
                  <c:v>2018.I.Ú</c:v>
                </c:pt>
                <c:pt idx="10">
                  <c:v>2018.II.</c:v>
                </c:pt>
                <c:pt idx="11">
                  <c:v>2018.III.</c:v>
                </c:pt>
              </c:strCache>
            </c:strRef>
          </c:cat>
          <c:val>
            <c:numRef>
              <c:f>Idősorok_ábrák_Állományi!$AL$515:$AW$515</c:f>
              <c:numCache>
                <c:formatCode>0.00</c:formatCode>
                <c:ptCount val="12"/>
                <c:pt idx="0">
                  <c:v>35.546175617103842</c:v>
                </c:pt>
                <c:pt idx="1">
                  <c:v>37.016236674537481</c:v>
                </c:pt>
                <c:pt idx="2">
                  <c:v>36.953512049001844</c:v>
                </c:pt>
                <c:pt idx="3">
                  <c:v>36.517768798541596</c:v>
                </c:pt>
                <c:pt idx="4">
                  <c:v>38.318230791466029</c:v>
                </c:pt>
                <c:pt idx="5">
                  <c:v>40.738270636441705</c:v>
                </c:pt>
                <c:pt idx="6">
                  <c:v>43.198289308399836</c:v>
                </c:pt>
                <c:pt idx="7">
                  <c:v>41.574929786261507</c:v>
                </c:pt>
                <c:pt idx="8">
                  <c:v>42.775005116104204</c:v>
                </c:pt>
                <c:pt idx="9">
                  <c:v>42.526514976081934</c:v>
                </c:pt>
                <c:pt idx="10">
                  <c:v>44.366960170599164</c:v>
                </c:pt>
                <c:pt idx="11">
                  <c:v>41.612832982507072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EE14-4070-9403-CBF0009FF9B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65302360"/>
        <c:axId val="565302752"/>
      </c:barChart>
      <c:catAx>
        <c:axId val="565302360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565302752"/>
        <c:crosses val="autoZero"/>
        <c:auto val="1"/>
        <c:lblAlgn val="ctr"/>
        <c:lblOffset val="100"/>
        <c:noMultiLvlLbl val="0"/>
      </c:catAx>
      <c:valAx>
        <c:axId val="565302752"/>
        <c:scaling>
          <c:orientation val="minMax"/>
        </c:scaling>
        <c:delete val="0"/>
        <c:axPos val="l"/>
        <c:majorGridlines/>
        <c:numFmt formatCode="0.00" sourceLinked="1"/>
        <c:majorTickMark val="out"/>
        <c:minorTickMark val="none"/>
        <c:tickLblPos val="nextTo"/>
        <c:crossAx val="565302360"/>
        <c:crosses val="autoZero"/>
        <c:crossBetween val="between"/>
      </c:valAx>
    </c:plotArea>
    <c:legend>
      <c:legendPos val="b"/>
      <c:overlay val="0"/>
    </c:legend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3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hu-H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Idősorok_ábrák_Állományi!$AK$459</c:f>
              <c:strCache>
                <c:ptCount val="1"/>
                <c:pt idx="0">
                  <c:v>Mgi forinthitel aránya/mgi összes (%)</c:v>
                </c:pt>
              </c:strCache>
            </c:strRef>
          </c:tx>
          <c:spPr>
            <a:solidFill>
              <a:srgbClr val="92D050"/>
            </a:solidFill>
          </c:spPr>
          <c:invertIfNegative val="0"/>
          <c:cat>
            <c:strRef>
              <c:f>Idősorok_ábrák_Állományi!$AL$465:$AW$465</c:f>
              <c:strCache>
                <c:ptCount val="12"/>
                <c:pt idx="0">
                  <c:v>2016. I. </c:v>
                </c:pt>
                <c:pt idx="1">
                  <c:v>2016.II.</c:v>
                </c:pt>
                <c:pt idx="2">
                  <c:v>2016.III.</c:v>
                </c:pt>
                <c:pt idx="3">
                  <c:v>2016.IV.</c:v>
                </c:pt>
                <c:pt idx="4">
                  <c:v>2017.I.</c:v>
                </c:pt>
                <c:pt idx="5">
                  <c:v>2017.II.</c:v>
                </c:pt>
                <c:pt idx="6">
                  <c:v>2017.III.</c:v>
                </c:pt>
                <c:pt idx="7">
                  <c:v>2017.IV.</c:v>
                </c:pt>
                <c:pt idx="8">
                  <c:v>2018.I.R</c:v>
                </c:pt>
                <c:pt idx="9">
                  <c:v>2018.I.Ú</c:v>
                </c:pt>
                <c:pt idx="10">
                  <c:v>2018.II.</c:v>
                </c:pt>
                <c:pt idx="11">
                  <c:v>2018.III.</c:v>
                </c:pt>
              </c:strCache>
            </c:strRef>
          </c:cat>
          <c:val>
            <c:numRef>
              <c:f>Idősorok_ábrák_Állományi!$AL$459:$AW$459</c:f>
              <c:numCache>
                <c:formatCode>0.00</c:formatCode>
                <c:ptCount val="12"/>
                <c:pt idx="0">
                  <c:v>92.891505180674287</c:v>
                </c:pt>
                <c:pt idx="1">
                  <c:v>93.599676706508831</c:v>
                </c:pt>
                <c:pt idx="2">
                  <c:v>93.283380635802942</c:v>
                </c:pt>
                <c:pt idx="3">
                  <c:v>93.313701585441606</c:v>
                </c:pt>
                <c:pt idx="4">
                  <c:v>93.200414249801682</c:v>
                </c:pt>
                <c:pt idx="5">
                  <c:v>93.253368186126451</c:v>
                </c:pt>
                <c:pt idx="6">
                  <c:v>92.745887912346987</c:v>
                </c:pt>
                <c:pt idx="7">
                  <c:v>92.482021559659316</c:v>
                </c:pt>
                <c:pt idx="8">
                  <c:v>91.941489882281587</c:v>
                </c:pt>
                <c:pt idx="9">
                  <c:v>92.385656438725221</c:v>
                </c:pt>
                <c:pt idx="10">
                  <c:v>92.442159861518704</c:v>
                </c:pt>
                <c:pt idx="11">
                  <c:v>92.314100604731166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8BE2-425E-A986-4FBDDB48A5ED}"/>
            </c:ext>
          </c:extLst>
        </c:ser>
        <c:ser>
          <c:idx val="1"/>
          <c:order val="1"/>
          <c:tx>
            <c:strRef>
              <c:f>Idősorok_ábrák_Állományi!$AK$477</c:f>
              <c:strCache>
                <c:ptCount val="1"/>
                <c:pt idx="0">
                  <c:v>ÉLIP forinthitel aránya/ÉLIP összes (%)</c:v>
                </c:pt>
              </c:strCache>
            </c:strRef>
          </c:tx>
          <c:spPr>
            <a:solidFill>
              <a:schemeClr val="accent6"/>
            </a:solidFill>
          </c:spPr>
          <c:invertIfNegative val="0"/>
          <c:cat>
            <c:strRef>
              <c:f>Idősorok_ábrák_Állományi!$AL$465:$AW$465</c:f>
              <c:strCache>
                <c:ptCount val="12"/>
                <c:pt idx="0">
                  <c:v>2016. I. </c:v>
                </c:pt>
                <c:pt idx="1">
                  <c:v>2016.II.</c:v>
                </c:pt>
                <c:pt idx="2">
                  <c:v>2016.III.</c:v>
                </c:pt>
                <c:pt idx="3">
                  <c:v>2016.IV.</c:v>
                </c:pt>
                <c:pt idx="4">
                  <c:v>2017.I.</c:v>
                </c:pt>
                <c:pt idx="5">
                  <c:v>2017.II.</c:v>
                </c:pt>
                <c:pt idx="6">
                  <c:v>2017.III.</c:v>
                </c:pt>
                <c:pt idx="7">
                  <c:v>2017.IV.</c:v>
                </c:pt>
                <c:pt idx="8">
                  <c:v>2018.I.R</c:v>
                </c:pt>
                <c:pt idx="9">
                  <c:v>2018.I.Ú</c:v>
                </c:pt>
                <c:pt idx="10">
                  <c:v>2018.II.</c:v>
                </c:pt>
                <c:pt idx="11">
                  <c:v>2018.III.</c:v>
                </c:pt>
              </c:strCache>
            </c:strRef>
          </c:cat>
          <c:val>
            <c:numRef>
              <c:f>Idősorok_ábrák_Állományi!$AL$477:$AW$477</c:f>
              <c:numCache>
                <c:formatCode>0.00</c:formatCode>
                <c:ptCount val="12"/>
                <c:pt idx="0">
                  <c:v>64.453824382896158</c:v>
                </c:pt>
                <c:pt idx="1">
                  <c:v>62.983763325462519</c:v>
                </c:pt>
                <c:pt idx="2">
                  <c:v>63.046487950998163</c:v>
                </c:pt>
                <c:pt idx="3">
                  <c:v>63.482231201458404</c:v>
                </c:pt>
                <c:pt idx="4">
                  <c:v>61.681769208533964</c:v>
                </c:pt>
                <c:pt idx="5">
                  <c:v>59.261729363558302</c:v>
                </c:pt>
                <c:pt idx="6">
                  <c:v>56.801710691600164</c:v>
                </c:pt>
                <c:pt idx="7">
                  <c:v>58.425070213738493</c:v>
                </c:pt>
                <c:pt idx="8">
                  <c:v>57.224994883895796</c:v>
                </c:pt>
                <c:pt idx="9">
                  <c:v>57.473485023918059</c:v>
                </c:pt>
                <c:pt idx="10">
                  <c:v>55.633039829400843</c:v>
                </c:pt>
                <c:pt idx="11">
                  <c:v>57.51635172953312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8BE2-425E-A986-4FBDDB48A5E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70975160"/>
        <c:axId val="570978688"/>
      </c:barChart>
      <c:catAx>
        <c:axId val="570975160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570978688"/>
        <c:crosses val="autoZero"/>
        <c:auto val="1"/>
        <c:lblAlgn val="ctr"/>
        <c:lblOffset val="100"/>
        <c:noMultiLvlLbl val="0"/>
      </c:catAx>
      <c:valAx>
        <c:axId val="570978688"/>
        <c:scaling>
          <c:orientation val="minMax"/>
        </c:scaling>
        <c:delete val="0"/>
        <c:axPos val="l"/>
        <c:majorGridlines/>
        <c:numFmt formatCode="0.00" sourceLinked="1"/>
        <c:majorTickMark val="out"/>
        <c:minorTickMark val="none"/>
        <c:tickLblPos val="nextTo"/>
        <c:crossAx val="570975160"/>
        <c:crosses val="autoZero"/>
        <c:crossBetween val="between"/>
      </c:valAx>
    </c:plotArea>
    <c:legend>
      <c:legendPos val="b"/>
      <c:overlay val="0"/>
    </c:legend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3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hu-H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Idősorok_ábrák_Állományi!$AK$459</c:f>
              <c:strCache>
                <c:ptCount val="1"/>
                <c:pt idx="0">
                  <c:v>Mgi forinthitel aránya/mgi összes (%)</c:v>
                </c:pt>
              </c:strCache>
            </c:strRef>
          </c:tx>
          <c:spPr>
            <a:solidFill>
              <a:schemeClr val="accent3"/>
            </a:solidFill>
          </c:spPr>
          <c:invertIfNegative val="0"/>
          <c:cat>
            <c:strRef>
              <c:f>Idősorok_ábrák_Állományi!$AL$484:$AW$484</c:f>
              <c:strCache>
                <c:ptCount val="12"/>
                <c:pt idx="0">
                  <c:v>2016. I. </c:v>
                </c:pt>
                <c:pt idx="1">
                  <c:v>2016.II.</c:v>
                </c:pt>
                <c:pt idx="2">
                  <c:v>2016.III.</c:v>
                </c:pt>
                <c:pt idx="3">
                  <c:v>2016.IV.</c:v>
                </c:pt>
                <c:pt idx="4">
                  <c:v>2017.I.</c:v>
                </c:pt>
                <c:pt idx="5">
                  <c:v>2017.II.</c:v>
                </c:pt>
                <c:pt idx="6">
                  <c:v>2017.III.</c:v>
                </c:pt>
                <c:pt idx="7">
                  <c:v>2017.IV.</c:v>
                </c:pt>
                <c:pt idx="8">
                  <c:v>2018.I.R</c:v>
                </c:pt>
                <c:pt idx="9">
                  <c:v>2018.I.Ú</c:v>
                </c:pt>
                <c:pt idx="10">
                  <c:v>2018.II.</c:v>
                </c:pt>
                <c:pt idx="11">
                  <c:v>2018.III.</c:v>
                </c:pt>
              </c:strCache>
            </c:strRef>
          </c:cat>
          <c:val>
            <c:numRef>
              <c:f>Idősorok_ábrák_Állományi!$AL$459:$AW$459</c:f>
              <c:numCache>
                <c:formatCode>0.00</c:formatCode>
                <c:ptCount val="12"/>
                <c:pt idx="0">
                  <c:v>92.891505180674287</c:v>
                </c:pt>
                <c:pt idx="1">
                  <c:v>93.599676706508831</c:v>
                </c:pt>
                <c:pt idx="2">
                  <c:v>93.283380635802942</c:v>
                </c:pt>
                <c:pt idx="3">
                  <c:v>93.313701585441606</c:v>
                </c:pt>
                <c:pt idx="4">
                  <c:v>93.200414249801682</c:v>
                </c:pt>
                <c:pt idx="5">
                  <c:v>93.253368186126451</c:v>
                </c:pt>
                <c:pt idx="6">
                  <c:v>92.745887912346987</c:v>
                </c:pt>
                <c:pt idx="7">
                  <c:v>92.482021559659316</c:v>
                </c:pt>
                <c:pt idx="8">
                  <c:v>91.941489882281587</c:v>
                </c:pt>
                <c:pt idx="9">
                  <c:v>92.385656438725221</c:v>
                </c:pt>
                <c:pt idx="10">
                  <c:v>92.442159861518704</c:v>
                </c:pt>
                <c:pt idx="11">
                  <c:v>92.314100604731166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69AA-4130-99C4-36A6C160A496}"/>
            </c:ext>
          </c:extLst>
        </c:ser>
        <c:ser>
          <c:idx val="1"/>
          <c:order val="1"/>
          <c:tx>
            <c:strRef>
              <c:f>Idősorok_ábrák_Állományi!$AK$496</c:f>
              <c:strCache>
                <c:ptCount val="1"/>
                <c:pt idx="0">
                  <c:v>Mgi devizahitel aránya/mgi összes (%)</c:v>
                </c:pt>
              </c:strCache>
            </c:strRef>
          </c:tx>
          <c:spPr>
            <a:solidFill>
              <a:schemeClr val="accent3">
                <a:lumMod val="50000"/>
              </a:schemeClr>
            </a:solidFill>
          </c:spPr>
          <c:invertIfNegative val="0"/>
          <c:cat>
            <c:strRef>
              <c:f>Idősorok_ábrák_Állományi!$AL$484:$AW$484</c:f>
              <c:strCache>
                <c:ptCount val="12"/>
                <c:pt idx="0">
                  <c:v>2016. I. </c:v>
                </c:pt>
                <c:pt idx="1">
                  <c:v>2016.II.</c:v>
                </c:pt>
                <c:pt idx="2">
                  <c:v>2016.III.</c:v>
                </c:pt>
                <c:pt idx="3">
                  <c:v>2016.IV.</c:v>
                </c:pt>
                <c:pt idx="4">
                  <c:v>2017.I.</c:v>
                </c:pt>
                <c:pt idx="5">
                  <c:v>2017.II.</c:v>
                </c:pt>
                <c:pt idx="6">
                  <c:v>2017.III.</c:v>
                </c:pt>
                <c:pt idx="7">
                  <c:v>2017.IV.</c:v>
                </c:pt>
                <c:pt idx="8">
                  <c:v>2018.I.R</c:v>
                </c:pt>
                <c:pt idx="9">
                  <c:v>2018.I.Ú</c:v>
                </c:pt>
                <c:pt idx="10">
                  <c:v>2018.II.</c:v>
                </c:pt>
                <c:pt idx="11">
                  <c:v>2018.III.</c:v>
                </c:pt>
              </c:strCache>
            </c:strRef>
          </c:cat>
          <c:val>
            <c:numRef>
              <c:f>Idősorok_ábrák_Állományi!$AL$496:$AW$496</c:f>
              <c:numCache>
                <c:formatCode>0.00</c:formatCode>
                <c:ptCount val="12"/>
                <c:pt idx="0">
                  <c:v>7.1083327202575974</c:v>
                </c:pt>
                <c:pt idx="1">
                  <c:v>6.4003620947748088</c:v>
                </c:pt>
                <c:pt idx="2">
                  <c:v>6.716498192653245</c:v>
                </c:pt>
                <c:pt idx="3">
                  <c:v>6.6863133693985155</c:v>
                </c:pt>
                <c:pt idx="4">
                  <c:v>6.7995748360520736</c:v>
                </c:pt>
                <c:pt idx="5">
                  <c:v>6.7466401639031215</c:v>
                </c:pt>
                <c:pt idx="6">
                  <c:v>7.2542015773810089</c:v>
                </c:pt>
                <c:pt idx="7">
                  <c:v>7.5179672387643182</c:v>
                </c:pt>
                <c:pt idx="8">
                  <c:v>8.0585078998482178</c:v>
                </c:pt>
                <c:pt idx="9">
                  <c:v>7.614343561274775</c:v>
                </c:pt>
                <c:pt idx="10">
                  <c:v>7.5578401384812963</c:v>
                </c:pt>
                <c:pt idx="11">
                  <c:v>7.6858993952688328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69AA-4130-99C4-36A6C160A49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70979080"/>
        <c:axId val="570976336"/>
      </c:barChart>
      <c:catAx>
        <c:axId val="570979080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570976336"/>
        <c:crosses val="autoZero"/>
        <c:auto val="1"/>
        <c:lblAlgn val="ctr"/>
        <c:lblOffset val="100"/>
        <c:noMultiLvlLbl val="0"/>
      </c:catAx>
      <c:valAx>
        <c:axId val="570976336"/>
        <c:scaling>
          <c:orientation val="minMax"/>
        </c:scaling>
        <c:delete val="0"/>
        <c:axPos val="l"/>
        <c:majorGridlines/>
        <c:numFmt formatCode="0.00" sourceLinked="1"/>
        <c:majorTickMark val="out"/>
        <c:minorTickMark val="none"/>
        <c:tickLblPos val="nextTo"/>
        <c:crossAx val="570979080"/>
        <c:crosses val="autoZero"/>
        <c:crossBetween val="between"/>
      </c:valAx>
    </c:plotArea>
    <c:legend>
      <c:legendPos val="b"/>
      <c:overlay val="0"/>
    </c:legend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4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hu-H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Idősorok_ábrák_Állományi!$AK$477</c:f>
              <c:strCache>
                <c:ptCount val="1"/>
                <c:pt idx="0">
                  <c:v>ÉLIP forinthitel aránya/ÉLIP összes (%)</c:v>
                </c:pt>
              </c:strCache>
            </c:strRef>
          </c:tx>
          <c:spPr>
            <a:solidFill>
              <a:schemeClr val="accent6"/>
            </a:solidFill>
          </c:spPr>
          <c:invertIfNegative val="0"/>
          <c:cat>
            <c:strRef>
              <c:f>Idősorok_ábrák_Állományi!$AL$503:$BG$503</c:f>
              <c:strCache>
                <c:ptCount val="22"/>
                <c:pt idx="0">
                  <c:v>2016. I. </c:v>
                </c:pt>
                <c:pt idx="1">
                  <c:v>2016.II.</c:v>
                </c:pt>
                <c:pt idx="2">
                  <c:v>2016.III.</c:v>
                </c:pt>
                <c:pt idx="3">
                  <c:v>2016.IV.</c:v>
                </c:pt>
                <c:pt idx="4">
                  <c:v>2017.I.</c:v>
                </c:pt>
                <c:pt idx="5">
                  <c:v>2017.II.</c:v>
                </c:pt>
                <c:pt idx="6">
                  <c:v>2017.III.</c:v>
                </c:pt>
                <c:pt idx="7">
                  <c:v>2017.IV.</c:v>
                </c:pt>
                <c:pt idx="8">
                  <c:v>2018.I.R</c:v>
                </c:pt>
                <c:pt idx="9">
                  <c:v>2018.I.Ú</c:v>
                </c:pt>
                <c:pt idx="10">
                  <c:v>2018.II.</c:v>
                </c:pt>
                <c:pt idx="11">
                  <c:v>2018.III.</c:v>
                </c:pt>
                <c:pt idx="12">
                  <c:v>2018.IV.</c:v>
                </c:pt>
                <c:pt idx="13">
                  <c:v>2019.I.</c:v>
                </c:pt>
                <c:pt idx="14">
                  <c:v>2019.II.</c:v>
                </c:pt>
                <c:pt idx="15">
                  <c:v>2019.III.</c:v>
                </c:pt>
                <c:pt idx="16">
                  <c:v>2019.IV.</c:v>
                </c:pt>
                <c:pt idx="17">
                  <c:v>2020.I.</c:v>
                </c:pt>
                <c:pt idx="18">
                  <c:v>2020.II.</c:v>
                </c:pt>
                <c:pt idx="19">
                  <c:v>2020. III.</c:v>
                </c:pt>
                <c:pt idx="20">
                  <c:v>2020. IV.</c:v>
                </c:pt>
                <c:pt idx="21">
                  <c:v>2021.I.</c:v>
                </c:pt>
              </c:strCache>
            </c:strRef>
          </c:cat>
          <c:val>
            <c:numRef>
              <c:f>Idősorok_ábrák_Állományi!$AL$477:$BG$477</c:f>
              <c:numCache>
                <c:formatCode>0.00</c:formatCode>
                <c:ptCount val="22"/>
                <c:pt idx="0">
                  <c:v>64.453824382896158</c:v>
                </c:pt>
                <c:pt idx="1">
                  <c:v>62.983763325462519</c:v>
                </c:pt>
                <c:pt idx="2">
                  <c:v>63.046487950998163</c:v>
                </c:pt>
                <c:pt idx="3">
                  <c:v>63.482231201458404</c:v>
                </c:pt>
                <c:pt idx="4">
                  <c:v>61.681769208533964</c:v>
                </c:pt>
                <c:pt idx="5">
                  <c:v>59.261729363558302</c:v>
                </c:pt>
                <c:pt idx="6">
                  <c:v>56.801710691600164</c:v>
                </c:pt>
                <c:pt idx="7">
                  <c:v>58.425070213738493</c:v>
                </c:pt>
                <c:pt idx="8">
                  <c:v>57.224994883895796</c:v>
                </c:pt>
                <c:pt idx="9">
                  <c:v>57.473485023918059</c:v>
                </c:pt>
                <c:pt idx="10">
                  <c:v>55.633039829400843</c:v>
                </c:pt>
                <c:pt idx="11">
                  <c:v>57.51635172953312</c:v>
                </c:pt>
                <c:pt idx="12">
                  <c:v>59.593817988173647</c:v>
                </c:pt>
                <c:pt idx="13">
                  <c:v>58.392657109534262</c:v>
                </c:pt>
                <c:pt idx="14">
                  <c:v>56.127131418727117</c:v>
                </c:pt>
                <c:pt idx="15">
                  <c:v>54.325429212430421</c:v>
                </c:pt>
                <c:pt idx="16">
                  <c:v>60.204849436948514</c:v>
                </c:pt>
                <c:pt idx="17">
                  <c:v>57.525365887438355</c:v>
                </c:pt>
                <c:pt idx="18">
                  <c:v>56.641259080085746</c:v>
                </c:pt>
                <c:pt idx="19">
                  <c:v>58.126673004699583</c:v>
                </c:pt>
                <c:pt idx="20">
                  <c:v>59.728420174964761</c:v>
                </c:pt>
                <c:pt idx="21">
                  <c:v>61.33852293029647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E226-4ADF-9B3A-070C67977255}"/>
            </c:ext>
          </c:extLst>
        </c:ser>
        <c:ser>
          <c:idx val="1"/>
          <c:order val="1"/>
          <c:tx>
            <c:strRef>
              <c:f>Idősorok_ábrák_Állományi!$AK$515</c:f>
              <c:strCache>
                <c:ptCount val="1"/>
                <c:pt idx="0">
                  <c:v>ÉLIP devizahitel aránya/ÉLIP összes (%)</c:v>
                </c:pt>
              </c:strCache>
            </c:strRef>
          </c:tx>
          <c:spPr>
            <a:solidFill>
              <a:srgbClr val="FFC000"/>
            </a:solidFill>
          </c:spPr>
          <c:invertIfNegative val="0"/>
          <c:cat>
            <c:strRef>
              <c:f>Idősorok_ábrák_Állományi!$AL$503:$BG$503</c:f>
              <c:strCache>
                <c:ptCount val="22"/>
                <c:pt idx="0">
                  <c:v>2016. I. </c:v>
                </c:pt>
                <c:pt idx="1">
                  <c:v>2016.II.</c:v>
                </c:pt>
                <c:pt idx="2">
                  <c:v>2016.III.</c:v>
                </c:pt>
                <c:pt idx="3">
                  <c:v>2016.IV.</c:v>
                </c:pt>
                <c:pt idx="4">
                  <c:v>2017.I.</c:v>
                </c:pt>
                <c:pt idx="5">
                  <c:v>2017.II.</c:v>
                </c:pt>
                <c:pt idx="6">
                  <c:v>2017.III.</c:v>
                </c:pt>
                <c:pt idx="7">
                  <c:v>2017.IV.</c:v>
                </c:pt>
                <c:pt idx="8">
                  <c:v>2018.I.R</c:v>
                </c:pt>
                <c:pt idx="9">
                  <c:v>2018.I.Ú</c:v>
                </c:pt>
                <c:pt idx="10">
                  <c:v>2018.II.</c:v>
                </c:pt>
                <c:pt idx="11">
                  <c:v>2018.III.</c:v>
                </c:pt>
                <c:pt idx="12">
                  <c:v>2018.IV.</c:v>
                </c:pt>
                <c:pt idx="13">
                  <c:v>2019.I.</c:v>
                </c:pt>
                <c:pt idx="14">
                  <c:v>2019.II.</c:v>
                </c:pt>
                <c:pt idx="15">
                  <c:v>2019.III.</c:v>
                </c:pt>
                <c:pt idx="16">
                  <c:v>2019.IV.</c:v>
                </c:pt>
                <c:pt idx="17">
                  <c:v>2020.I.</c:v>
                </c:pt>
                <c:pt idx="18">
                  <c:v>2020.II.</c:v>
                </c:pt>
                <c:pt idx="19">
                  <c:v>2020. III.</c:v>
                </c:pt>
                <c:pt idx="20">
                  <c:v>2020. IV.</c:v>
                </c:pt>
                <c:pt idx="21">
                  <c:v>2021.I.</c:v>
                </c:pt>
              </c:strCache>
            </c:strRef>
          </c:cat>
          <c:val>
            <c:numRef>
              <c:f>Idősorok_ábrák_Állományi!$AL$515:$BG$515</c:f>
              <c:numCache>
                <c:formatCode>0.00</c:formatCode>
                <c:ptCount val="22"/>
                <c:pt idx="0">
                  <c:v>35.546175617103842</c:v>
                </c:pt>
                <c:pt idx="1">
                  <c:v>37.016236674537481</c:v>
                </c:pt>
                <c:pt idx="2">
                  <c:v>36.953512049001844</c:v>
                </c:pt>
                <c:pt idx="3">
                  <c:v>36.517768798541596</c:v>
                </c:pt>
                <c:pt idx="4">
                  <c:v>38.318230791466029</c:v>
                </c:pt>
                <c:pt idx="5">
                  <c:v>40.738270636441705</c:v>
                </c:pt>
                <c:pt idx="6">
                  <c:v>43.198289308399836</c:v>
                </c:pt>
                <c:pt idx="7">
                  <c:v>41.574929786261507</c:v>
                </c:pt>
                <c:pt idx="8">
                  <c:v>42.775005116104204</c:v>
                </c:pt>
                <c:pt idx="9">
                  <c:v>42.526514976081934</c:v>
                </c:pt>
                <c:pt idx="10">
                  <c:v>44.366960170599164</c:v>
                </c:pt>
                <c:pt idx="11">
                  <c:v>41.612832982507072</c:v>
                </c:pt>
                <c:pt idx="12">
                  <c:v>40.406182011826353</c:v>
                </c:pt>
                <c:pt idx="13">
                  <c:v>41.607342890465731</c:v>
                </c:pt>
                <c:pt idx="14">
                  <c:v>43.872868581272876</c:v>
                </c:pt>
                <c:pt idx="15">
                  <c:v>45.674570787569586</c:v>
                </c:pt>
                <c:pt idx="16">
                  <c:v>39.795150563051493</c:v>
                </c:pt>
                <c:pt idx="17">
                  <c:v>42.474698496617975</c:v>
                </c:pt>
                <c:pt idx="18">
                  <c:v>43.358740919914254</c:v>
                </c:pt>
                <c:pt idx="19">
                  <c:v>41.873326995300417</c:v>
                </c:pt>
                <c:pt idx="20">
                  <c:v>40.271579825035239</c:v>
                </c:pt>
                <c:pt idx="21">
                  <c:v>38.661477069703523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E226-4ADF-9B3A-070C6797725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70983392"/>
        <c:axId val="570981432"/>
      </c:barChart>
      <c:catAx>
        <c:axId val="57098339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570981432"/>
        <c:crosses val="autoZero"/>
        <c:auto val="1"/>
        <c:lblAlgn val="ctr"/>
        <c:lblOffset val="100"/>
        <c:noMultiLvlLbl val="0"/>
      </c:catAx>
      <c:valAx>
        <c:axId val="570981432"/>
        <c:scaling>
          <c:orientation val="minMax"/>
        </c:scaling>
        <c:delete val="0"/>
        <c:axPos val="l"/>
        <c:majorGridlines/>
        <c:numFmt formatCode="0.00" sourceLinked="1"/>
        <c:majorTickMark val="out"/>
        <c:minorTickMark val="none"/>
        <c:tickLblPos val="nextTo"/>
        <c:crossAx val="570983392"/>
        <c:crosses val="autoZero"/>
        <c:crossBetween val="between"/>
      </c:valAx>
    </c:plotArea>
    <c:legend>
      <c:legendPos val="b"/>
      <c:overlay val="0"/>
    </c:legend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4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hu-H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Idősorok_ábrák_Állományi!$BJ$448</c:f>
              <c:strCache>
                <c:ptCount val="1"/>
                <c:pt idx="0">
                  <c:v>Mgi forinthitel aránya/mgi összes (%)</c:v>
                </c:pt>
              </c:strCache>
            </c:strRef>
          </c:tx>
          <c:invertIfNegative val="0"/>
          <c:cat>
            <c:strRef>
              <c:f>Idősorok_ábrák_Állományi!$BM$447:$BX$447</c:f>
              <c:strCache>
                <c:ptCount val="12"/>
                <c:pt idx="0">
                  <c:v>2016. I. </c:v>
                </c:pt>
                <c:pt idx="1">
                  <c:v>2016.II.</c:v>
                </c:pt>
                <c:pt idx="2">
                  <c:v>2016.III.</c:v>
                </c:pt>
                <c:pt idx="3">
                  <c:v>2016.IV.</c:v>
                </c:pt>
                <c:pt idx="4">
                  <c:v>2017.I.</c:v>
                </c:pt>
                <c:pt idx="5">
                  <c:v>2017.II.</c:v>
                </c:pt>
                <c:pt idx="6">
                  <c:v>2017.III.</c:v>
                </c:pt>
                <c:pt idx="7">
                  <c:v>2017.IV.</c:v>
                </c:pt>
                <c:pt idx="8">
                  <c:v>2018.I.</c:v>
                </c:pt>
                <c:pt idx="9">
                  <c:v>2018.II.</c:v>
                </c:pt>
                <c:pt idx="10">
                  <c:v>2018.III.</c:v>
                </c:pt>
                <c:pt idx="11">
                  <c:v>2018.IV.</c:v>
                </c:pt>
              </c:strCache>
            </c:strRef>
          </c:cat>
          <c:val>
            <c:numRef>
              <c:f>Idősorok_ábrák_Állományi!$BM$448:$BX$448</c:f>
              <c:numCache>
                <c:formatCode>0.00</c:formatCode>
                <c:ptCount val="12"/>
                <c:pt idx="0">
                  <c:v>92.891505180674287</c:v>
                </c:pt>
                <c:pt idx="1">
                  <c:v>93.599676706508831</c:v>
                </c:pt>
                <c:pt idx="2">
                  <c:v>93.283380635802942</c:v>
                </c:pt>
                <c:pt idx="3">
                  <c:v>93.313701585441606</c:v>
                </c:pt>
                <c:pt idx="4">
                  <c:v>93.200414249801682</c:v>
                </c:pt>
                <c:pt idx="5">
                  <c:v>93.253368186126451</c:v>
                </c:pt>
                <c:pt idx="6">
                  <c:v>92.745887912346987</c:v>
                </c:pt>
                <c:pt idx="7">
                  <c:v>92.482021559659316</c:v>
                </c:pt>
                <c:pt idx="8">
                  <c:v>91.941489882281587</c:v>
                </c:pt>
                <c:pt idx="9">
                  <c:v>91.971474162492626</c:v>
                </c:pt>
                <c:pt idx="10">
                  <c:v>91.857373822016314</c:v>
                </c:pt>
                <c:pt idx="11">
                  <c:v>91.561571189456799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345C-40C4-B6B6-60D1F219E640}"/>
            </c:ext>
          </c:extLst>
        </c:ser>
        <c:ser>
          <c:idx val="1"/>
          <c:order val="1"/>
          <c:tx>
            <c:strRef>
              <c:f>Idősorok_ábrák_Állományi!$BJ$449</c:f>
              <c:strCache>
                <c:ptCount val="1"/>
                <c:pt idx="0">
                  <c:v>ÉLIP forinthitel aránya/ÉLIP összes (%)</c:v>
                </c:pt>
              </c:strCache>
            </c:strRef>
          </c:tx>
          <c:invertIfNegative val="0"/>
          <c:cat>
            <c:strRef>
              <c:f>Idősorok_ábrák_Állományi!$BM$447:$BX$447</c:f>
              <c:strCache>
                <c:ptCount val="12"/>
                <c:pt idx="0">
                  <c:v>2016. I. </c:v>
                </c:pt>
                <c:pt idx="1">
                  <c:v>2016.II.</c:v>
                </c:pt>
                <c:pt idx="2">
                  <c:v>2016.III.</c:v>
                </c:pt>
                <c:pt idx="3">
                  <c:v>2016.IV.</c:v>
                </c:pt>
                <c:pt idx="4">
                  <c:v>2017.I.</c:v>
                </c:pt>
                <c:pt idx="5">
                  <c:v>2017.II.</c:v>
                </c:pt>
                <c:pt idx="6">
                  <c:v>2017.III.</c:v>
                </c:pt>
                <c:pt idx="7">
                  <c:v>2017.IV.</c:v>
                </c:pt>
                <c:pt idx="8">
                  <c:v>2018.I.</c:v>
                </c:pt>
                <c:pt idx="9">
                  <c:v>2018.II.</c:v>
                </c:pt>
                <c:pt idx="10">
                  <c:v>2018.III.</c:v>
                </c:pt>
                <c:pt idx="11">
                  <c:v>2018.IV.</c:v>
                </c:pt>
              </c:strCache>
            </c:strRef>
          </c:cat>
          <c:val>
            <c:numRef>
              <c:f>Idősorok_ábrák_Állományi!$BM$449:$BX$449</c:f>
              <c:numCache>
                <c:formatCode>0.00</c:formatCode>
                <c:ptCount val="12"/>
                <c:pt idx="0">
                  <c:v>64.453824382896158</c:v>
                </c:pt>
                <c:pt idx="1">
                  <c:v>62.983763325462519</c:v>
                </c:pt>
                <c:pt idx="2">
                  <c:v>63.046487950998163</c:v>
                </c:pt>
                <c:pt idx="3">
                  <c:v>63.482231201458404</c:v>
                </c:pt>
                <c:pt idx="4">
                  <c:v>61.681769208533964</c:v>
                </c:pt>
                <c:pt idx="5">
                  <c:v>59.261729363558302</c:v>
                </c:pt>
                <c:pt idx="6">
                  <c:v>56.801710691600164</c:v>
                </c:pt>
                <c:pt idx="7">
                  <c:v>58.425070213738493</c:v>
                </c:pt>
                <c:pt idx="8">
                  <c:v>57.224994883895796</c:v>
                </c:pt>
                <c:pt idx="9">
                  <c:v>55.375752264985977</c:v>
                </c:pt>
                <c:pt idx="10">
                  <c:v>57.298008655438927</c:v>
                </c:pt>
                <c:pt idx="11">
                  <c:v>59.339072674486701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345C-40C4-B6B6-60D1F219E640}"/>
            </c:ext>
          </c:extLst>
        </c:ser>
        <c:ser>
          <c:idx val="2"/>
          <c:order val="2"/>
          <c:tx>
            <c:strRef>
              <c:f>Idősorok_ábrák_Állományi!$BJ$450</c:f>
              <c:strCache>
                <c:ptCount val="1"/>
                <c:pt idx="0">
                  <c:v>Mgi devizahitel aránya/mgi összes (%)</c:v>
                </c:pt>
              </c:strCache>
            </c:strRef>
          </c:tx>
          <c:invertIfNegative val="0"/>
          <c:cat>
            <c:strRef>
              <c:f>Idősorok_ábrák_Állományi!$BM$447:$BX$447</c:f>
              <c:strCache>
                <c:ptCount val="12"/>
                <c:pt idx="0">
                  <c:v>2016. I. </c:v>
                </c:pt>
                <c:pt idx="1">
                  <c:v>2016.II.</c:v>
                </c:pt>
                <c:pt idx="2">
                  <c:v>2016.III.</c:v>
                </c:pt>
                <c:pt idx="3">
                  <c:v>2016.IV.</c:v>
                </c:pt>
                <c:pt idx="4">
                  <c:v>2017.I.</c:v>
                </c:pt>
                <c:pt idx="5">
                  <c:v>2017.II.</c:v>
                </c:pt>
                <c:pt idx="6">
                  <c:v>2017.III.</c:v>
                </c:pt>
                <c:pt idx="7">
                  <c:v>2017.IV.</c:v>
                </c:pt>
                <c:pt idx="8">
                  <c:v>2018.I.</c:v>
                </c:pt>
                <c:pt idx="9">
                  <c:v>2018.II.</c:v>
                </c:pt>
                <c:pt idx="10">
                  <c:v>2018.III.</c:v>
                </c:pt>
                <c:pt idx="11">
                  <c:v>2018.IV.</c:v>
                </c:pt>
              </c:strCache>
            </c:strRef>
          </c:cat>
          <c:val>
            <c:numRef>
              <c:f>Idősorok_ábrák_Állományi!$BM$450:$BX$450</c:f>
              <c:numCache>
                <c:formatCode>0.00</c:formatCode>
                <c:ptCount val="12"/>
                <c:pt idx="0">
                  <c:v>7.1083327202575974</c:v>
                </c:pt>
                <c:pt idx="1">
                  <c:v>6.4003620947748088</c:v>
                </c:pt>
                <c:pt idx="2">
                  <c:v>6.716498192653245</c:v>
                </c:pt>
                <c:pt idx="3">
                  <c:v>6.6863133693985155</c:v>
                </c:pt>
                <c:pt idx="4">
                  <c:v>6.7995748360520736</c:v>
                </c:pt>
                <c:pt idx="5">
                  <c:v>6.7466401639031215</c:v>
                </c:pt>
                <c:pt idx="6">
                  <c:v>7.2542015773810089</c:v>
                </c:pt>
                <c:pt idx="7">
                  <c:v>7.5179672387643182</c:v>
                </c:pt>
                <c:pt idx="8">
                  <c:v>8.0585078998482178</c:v>
                </c:pt>
                <c:pt idx="9">
                  <c:v>8.0285956638703215</c:v>
                </c:pt>
                <c:pt idx="10">
                  <c:v>8.1426114884870628</c:v>
                </c:pt>
                <c:pt idx="11">
                  <c:v>8.4384288105431846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345C-40C4-B6B6-60D1F219E640}"/>
            </c:ext>
          </c:extLst>
        </c:ser>
        <c:ser>
          <c:idx val="3"/>
          <c:order val="3"/>
          <c:tx>
            <c:strRef>
              <c:f>Idősorok_ábrák_Állományi!$BJ$451</c:f>
              <c:strCache>
                <c:ptCount val="1"/>
                <c:pt idx="0">
                  <c:v>ÉLIP devizahitel aránya/ÉLIP összes (%)</c:v>
                </c:pt>
              </c:strCache>
            </c:strRef>
          </c:tx>
          <c:invertIfNegative val="0"/>
          <c:cat>
            <c:strRef>
              <c:f>Idősorok_ábrák_Állományi!$BM$447:$BX$447</c:f>
              <c:strCache>
                <c:ptCount val="12"/>
                <c:pt idx="0">
                  <c:v>2016. I. </c:v>
                </c:pt>
                <c:pt idx="1">
                  <c:v>2016.II.</c:v>
                </c:pt>
                <c:pt idx="2">
                  <c:v>2016.III.</c:v>
                </c:pt>
                <c:pt idx="3">
                  <c:v>2016.IV.</c:v>
                </c:pt>
                <c:pt idx="4">
                  <c:v>2017.I.</c:v>
                </c:pt>
                <c:pt idx="5">
                  <c:v>2017.II.</c:v>
                </c:pt>
                <c:pt idx="6">
                  <c:v>2017.III.</c:v>
                </c:pt>
                <c:pt idx="7">
                  <c:v>2017.IV.</c:v>
                </c:pt>
                <c:pt idx="8">
                  <c:v>2018.I.</c:v>
                </c:pt>
                <c:pt idx="9">
                  <c:v>2018.II.</c:v>
                </c:pt>
                <c:pt idx="10">
                  <c:v>2018.III.</c:v>
                </c:pt>
                <c:pt idx="11">
                  <c:v>2018.IV.</c:v>
                </c:pt>
              </c:strCache>
            </c:strRef>
          </c:cat>
          <c:val>
            <c:numRef>
              <c:f>Idősorok_ábrák_Állományi!$BM$451:$BX$451</c:f>
              <c:numCache>
                <c:formatCode>0.00</c:formatCode>
                <c:ptCount val="12"/>
                <c:pt idx="0">
                  <c:v>35.546175617103842</c:v>
                </c:pt>
                <c:pt idx="1">
                  <c:v>37.016236674537481</c:v>
                </c:pt>
                <c:pt idx="2">
                  <c:v>36.953512049001844</c:v>
                </c:pt>
                <c:pt idx="3">
                  <c:v>36.517768798541596</c:v>
                </c:pt>
                <c:pt idx="4">
                  <c:v>38.318230791466029</c:v>
                </c:pt>
                <c:pt idx="5">
                  <c:v>40.738270636441705</c:v>
                </c:pt>
                <c:pt idx="6">
                  <c:v>43.198289308399836</c:v>
                </c:pt>
                <c:pt idx="7">
                  <c:v>41.574929786261507</c:v>
                </c:pt>
                <c:pt idx="8">
                  <c:v>42.775005116104204</c:v>
                </c:pt>
                <c:pt idx="9">
                  <c:v>44.624247735014023</c:v>
                </c:pt>
                <c:pt idx="10">
                  <c:v>42.701991344561065</c:v>
                </c:pt>
                <c:pt idx="11">
                  <c:v>40.660927325513299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345C-40C4-B6B6-60D1F219E64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70973984"/>
        <c:axId val="570984568"/>
      </c:barChart>
      <c:catAx>
        <c:axId val="570973984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570984568"/>
        <c:crosses val="autoZero"/>
        <c:auto val="1"/>
        <c:lblAlgn val="ctr"/>
        <c:lblOffset val="100"/>
        <c:noMultiLvlLbl val="0"/>
      </c:catAx>
      <c:valAx>
        <c:axId val="570984568"/>
        <c:scaling>
          <c:orientation val="minMax"/>
        </c:scaling>
        <c:delete val="0"/>
        <c:axPos val="l"/>
        <c:majorGridlines/>
        <c:numFmt formatCode="0.00" sourceLinked="1"/>
        <c:majorTickMark val="out"/>
        <c:minorTickMark val="none"/>
        <c:tickLblPos val="nextTo"/>
        <c:crossAx val="570973984"/>
        <c:crosses val="autoZero"/>
        <c:crossBetween val="between"/>
      </c:valAx>
    </c:plotArea>
    <c:legend>
      <c:legendPos val="b"/>
      <c:overlay val="0"/>
    </c:legend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4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hu-H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stacked"/>
        <c:varyColors val="0"/>
        <c:ser>
          <c:idx val="0"/>
          <c:order val="0"/>
          <c:tx>
            <c:strRef>
              <c:f>Idősorok_ábrák_Állományi!$BL$548</c:f>
              <c:strCache>
                <c:ptCount val="1"/>
                <c:pt idx="0">
                  <c:v>Deviza % - Mg</c:v>
                </c:pt>
              </c:strCache>
            </c:strRef>
          </c:tx>
          <c:spPr>
            <a:solidFill>
              <a:schemeClr val="accent3"/>
            </a:solidFill>
          </c:spPr>
          <c:invertIfNegative val="0"/>
          <c:dPt>
            <c:idx val="1"/>
            <c:invertIfNegative val="0"/>
            <c:bubble3D val="0"/>
            <c:spPr>
              <a:solidFill>
                <a:schemeClr val="accent3">
                  <a:lumMod val="40000"/>
                  <a:lumOff val="60000"/>
                </a:schemeClr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6A78-4CA7-A5EE-810BBCC48CB3}"/>
              </c:ext>
            </c:extLst>
          </c:dPt>
          <c:dPt>
            <c:idx val="3"/>
            <c:invertIfNegative val="0"/>
            <c:bubble3D val="0"/>
            <c:spPr>
              <a:solidFill>
                <a:schemeClr val="accent3">
                  <a:lumMod val="40000"/>
                  <a:lumOff val="60000"/>
                </a:schemeClr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6A78-4CA7-A5EE-810BBCC48CB3}"/>
              </c:ext>
            </c:extLst>
          </c:dPt>
          <c:dPt>
            <c:idx val="5"/>
            <c:invertIfNegative val="0"/>
            <c:bubble3D val="0"/>
            <c:spPr>
              <a:solidFill>
                <a:schemeClr val="accent3">
                  <a:lumMod val="40000"/>
                  <a:lumOff val="60000"/>
                </a:schemeClr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6A78-4CA7-A5EE-810BBCC48CB3}"/>
              </c:ext>
            </c:extLst>
          </c:dPt>
          <c:dPt>
            <c:idx val="7"/>
            <c:invertIfNegative val="0"/>
            <c:bubble3D val="0"/>
            <c:spPr>
              <a:solidFill>
                <a:schemeClr val="accent3">
                  <a:lumMod val="40000"/>
                  <a:lumOff val="60000"/>
                </a:schemeClr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6A78-4CA7-A5EE-810BBCC48CB3}"/>
              </c:ext>
            </c:extLst>
          </c:dPt>
          <c:dPt>
            <c:idx val="9"/>
            <c:invertIfNegative val="0"/>
            <c:bubble3D val="0"/>
            <c:spPr>
              <a:solidFill>
                <a:schemeClr val="accent3">
                  <a:lumMod val="40000"/>
                  <a:lumOff val="60000"/>
                </a:schemeClr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9-6A78-4CA7-A5EE-810BBCC48CB3}"/>
              </c:ext>
            </c:extLst>
          </c:dPt>
          <c:dPt>
            <c:idx val="11"/>
            <c:invertIfNegative val="0"/>
            <c:bubble3D val="0"/>
            <c:spPr>
              <a:solidFill>
                <a:schemeClr val="accent3">
                  <a:lumMod val="40000"/>
                  <a:lumOff val="60000"/>
                </a:schemeClr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B-6A78-4CA7-A5EE-810BBCC48CB3}"/>
              </c:ext>
            </c:extLst>
          </c:dPt>
          <c:dPt>
            <c:idx val="13"/>
            <c:invertIfNegative val="0"/>
            <c:bubble3D val="0"/>
            <c:spPr>
              <a:solidFill>
                <a:schemeClr val="accent3">
                  <a:lumMod val="40000"/>
                  <a:lumOff val="60000"/>
                </a:schemeClr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D-6A78-4CA7-A5EE-810BBCC48CB3}"/>
              </c:ext>
            </c:extLst>
          </c:dPt>
          <c:dPt>
            <c:idx val="15"/>
            <c:invertIfNegative val="0"/>
            <c:bubble3D val="0"/>
            <c:spPr>
              <a:solidFill>
                <a:schemeClr val="accent3">
                  <a:lumMod val="40000"/>
                  <a:lumOff val="60000"/>
                </a:schemeClr>
              </a:solidFill>
              <a:ln w="3175">
                <a:solidFill>
                  <a:schemeClr val="accent1"/>
                </a:solidFill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F-6A78-4CA7-A5EE-810BBCC48CB3}"/>
              </c:ext>
            </c:extLst>
          </c:dPt>
          <c:dPt>
            <c:idx val="17"/>
            <c:invertIfNegative val="0"/>
            <c:bubble3D val="0"/>
            <c:spPr>
              <a:solidFill>
                <a:schemeClr val="accent3">
                  <a:lumMod val="40000"/>
                  <a:lumOff val="60000"/>
                </a:schemeClr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1-6A78-4CA7-A5EE-810BBCC48CB3}"/>
              </c:ext>
            </c:extLst>
          </c:dPt>
          <c:dPt>
            <c:idx val="19"/>
            <c:invertIfNegative val="0"/>
            <c:bubble3D val="0"/>
            <c:spPr>
              <a:solidFill>
                <a:schemeClr val="accent3">
                  <a:lumMod val="40000"/>
                  <a:lumOff val="60000"/>
                </a:schemeClr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3-6A78-4CA7-A5EE-810BBCC48CB3}"/>
              </c:ext>
            </c:extLst>
          </c:dPt>
          <c:dPt>
            <c:idx val="21"/>
            <c:invertIfNegative val="0"/>
            <c:bubble3D val="0"/>
            <c:spPr>
              <a:solidFill>
                <a:schemeClr val="accent3">
                  <a:lumMod val="40000"/>
                  <a:lumOff val="60000"/>
                </a:schemeClr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5-6A78-4CA7-A5EE-810BBCC48CB3}"/>
              </c:ext>
            </c:extLst>
          </c:dPt>
          <c:dPt>
            <c:idx val="23"/>
            <c:invertIfNegative val="0"/>
            <c:bubble3D val="0"/>
            <c:spPr>
              <a:solidFill>
                <a:schemeClr val="accent3">
                  <a:lumMod val="40000"/>
                  <a:lumOff val="60000"/>
                </a:schemeClr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7-6A78-4CA7-A5EE-810BBCC48CB3}"/>
              </c:ext>
            </c:extLst>
          </c:dPt>
          <c:dPt>
            <c:idx val="25"/>
            <c:invertIfNegative val="0"/>
            <c:bubble3D val="0"/>
            <c:spPr>
              <a:solidFill>
                <a:schemeClr val="accent3">
                  <a:lumMod val="40000"/>
                  <a:lumOff val="60000"/>
                </a:schemeClr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9-2975-492A-924A-55E30A41C936}"/>
              </c:ext>
            </c:extLst>
          </c:dPt>
          <c:dPt>
            <c:idx val="27"/>
            <c:invertIfNegative val="0"/>
            <c:bubble3D val="0"/>
            <c:spPr>
              <a:solidFill>
                <a:schemeClr val="accent3">
                  <a:lumMod val="40000"/>
                  <a:lumOff val="60000"/>
                </a:schemeClr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B-2975-492A-924A-55E30A41C936}"/>
              </c:ext>
            </c:extLst>
          </c:dPt>
          <c:dPt>
            <c:idx val="29"/>
            <c:invertIfNegative val="0"/>
            <c:bubble3D val="0"/>
            <c:spPr>
              <a:solidFill>
                <a:schemeClr val="accent3">
                  <a:lumMod val="40000"/>
                  <a:lumOff val="60000"/>
                </a:schemeClr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D-2975-492A-924A-55E30A41C936}"/>
              </c:ext>
            </c:extLst>
          </c:dPt>
          <c:dPt>
            <c:idx val="31"/>
            <c:invertIfNegative val="0"/>
            <c:bubble3D val="0"/>
            <c:spPr>
              <a:solidFill>
                <a:schemeClr val="accent3">
                  <a:lumMod val="40000"/>
                  <a:lumOff val="60000"/>
                </a:schemeClr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F-2975-492A-924A-55E30A41C936}"/>
              </c:ext>
            </c:extLst>
          </c:dPt>
          <c:dPt>
            <c:idx val="33"/>
            <c:invertIfNegative val="0"/>
            <c:bubble3D val="0"/>
            <c:spPr>
              <a:solidFill>
                <a:schemeClr val="accent3">
                  <a:lumMod val="40000"/>
                  <a:lumOff val="60000"/>
                </a:schemeClr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21-2975-492A-924A-55E30A41C936}"/>
              </c:ext>
            </c:extLst>
          </c:dPt>
          <c:dPt>
            <c:idx val="35"/>
            <c:invertIfNegative val="0"/>
            <c:bubble3D val="0"/>
            <c:spPr>
              <a:solidFill>
                <a:schemeClr val="accent3">
                  <a:lumMod val="40000"/>
                  <a:lumOff val="60000"/>
                </a:schemeClr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23-2975-492A-924A-55E30A41C936}"/>
              </c:ext>
            </c:extLst>
          </c:dPt>
          <c:dPt>
            <c:idx val="37"/>
            <c:invertIfNegative val="0"/>
            <c:bubble3D val="0"/>
            <c:spPr>
              <a:solidFill>
                <a:schemeClr val="accent3">
                  <a:lumMod val="40000"/>
                  <a:lumOff val="60000"/>
                </a:schemeClr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25-2975-492A-924A-55E30A41C936}"/>
              </c:ext>
            </c:extLst>
          </c:dPt>
          <c:dPt>
            <c:idx val="39"/>
            <c:invertIfNegative val="0"/>
            <c:bubble3D val="0"/>
            <c:spPr>
              <a:solidFill>
                <a:schemeClr val="accent3">
                  <a:lumMod val="20000"/>
                  <a:lumOff val="80000"/>
                </a:schemeClr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27-2975-492A-924A-55E30A41C936}"/>
              </c:ext>
            </c:extLst>
          </c:dPt>
          <c:dLbls>
            <c:numFmt formatCode="#,##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>
                    <a:latin typeface="Times New Roman" panose="02020603050405020304" pitchFamily="18" charset="0"/>
                    <a:cs typeface="Times New Roman" panose="02020603050405020304" pitchFamily="18" charset="0"/>
                  </a:defRPr>
                </a:pPr>
                <a:endParaRPr lang="hu-H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multiLvlStrRef>
              <c:f>Idősorok_ábrák_Állományi!$BM$546:$DB$547</c:f>
              <c:multiLvlStrCache>
                <c:ptCount val="42"/>
                <c:lvl>
                  <c:pt idx="0">
                    <c:v>MG</c:v>
                  </c:pt>
                  <c:pt idx="1">
                    <c:v>ÉLIP</c:v>
                  </c:pt>
                  <c:pt idx="2">
                    <c:v>MG</c:v>
                  </c:pt>
                  <c:pt idx="3">
                    <c:v>ÉLIP</c:v>
                  </c:pt>
                  <c:pt idx="4">
                    <c:v>MG</c:v>
                  </c:pt>
                  <c:pt idx="5">
                    <c:v>ÉLIP</c:v>
                  </c:pt>
                  <c:pt idx="6">
                    <c:v>MG</c:v>
                  </c:pt>
                  <c:pt idx="7">
                    <c:v>ÉLIP</c:v>
                  </c:pt>
                  <c:pt idx="8">
                    <c:v>MG</c:v>
                  </c:pt>
                  <c:pt idx="9">
                    <c:v>ÉLIP</c:v>
                  </c:pt>
                  <c:pt idx="10">
                    <c:v>MG</c:v>
                  </c:pt>
                  <c:pt idx="11">
                    <c:v>ÉLIP</c:v>
                  </c:pt>
                  <c:pt idx="12">
                    <c:v>MG</c:v>
                  </c:pt>
                  <c:pt idx="13">
                    <c:v>ÉLIP</c:v>
                  </c:pt>
                  <c:pt idx="14">
                    <c:v>MG</c:v>
                  </c:pt>
                  <c:pt idx="15">
                    <c:v>ÉLIP</c:v>
                  </c:pt>
                  <c:pt idx="16">
                    <c:v>MG</c:v>
                  </c:pt>
                  <c:pt idx="17">
                    <c:v>ÉLIP</c:v>
                  </c:pt>
                  <c:pt idx="18">
                    <c:v>MG</c:v>
                  </c:pt>
                  <c:pt idx="19">
                    <c:v>ÉLIP</c:v>
                  </c:pt>
                  <c:pt idx="20">
                    <c:v>MG</c:v>
                  </c:pt>
                  <c:pt idx="21">
                    <c:v>ÉLIP</c:v>
                  </c:pt>
                  <c:pt idx="22">
                    <c:v>MG</c:v>
                  </c:pt>
                  <c:pt idx="23">
                    <c:v>ÉLIP</c:v>
                  </c:pt>
                  <c:pt idx="24">
                    <c:v>MG</c:v>
                  </c:pt>
                  <c:pt idx="25">
                    <c:v>ÉLIP</c:v>
                  </c:pt>
                  <c:pt idx="26">
                    <c:v>MG</c:v>
                  </c:pt>
                  <c:pt idx="27">
                    <c:v>ÉLIP</c:v>
                  </c:pt>
                  <c:pt idx="28">
                    <c:v>MG</c:v>
                  </c:pt>
                  <c:pt idx="29">
                    <c:v>ÉLIP</c:v>
                  </c:pt>
                  <c:pt idx="30">
                    <c:v>MG</c:v>
                  </c:pt>
                  <c:pt idx="31">
                    <c:v>ÉLIP</c:v>
                  </c:pt>
                  <c:pt idx="32">
                    <c:v>MG</c:v>
                  </c:pt>
                  <c:pt idx="33">
                    <c:v>ÉLIP</c:v>
                  </c:pt>
                  <c:pt idx="34">
                    <c:v>MG</c:v>
                  </c:pt>
                  <c:pt idx="35">
                    <c:v>ÉLIP</c:v>
                  </c:pt>
                  <c:pt idx="36">
                    <c:v>MG</c:v>
                  </c:pt>
                  <c:pt idx="37">
                    <c:v>ÉLIP</c:v>
                  </c:pt>
                  <c:pt idx="38">
                    <c:v>MG</c:v>
                  </c:pt>
                  <c:pt idx="39">
                    <c:v>ÉLIP</c:v>
                  </c:pt>
                  <c:pt idx="40">
                    <c:v>MG</c:v>
                  </c:pt>
                  <c:pt idx="41">
                    <c:v>ÉLIP</c:v>
                  </c:pt>
                </c:lvl>
                <c:lvl>
                  <c:pt idx="0">
                    <c:v>2016. I. </c:v>
                  </c:pt>
                  <c:pt idx="2">
                    <c:v>2016.II.</c:v>
                  </c:pt>
                  <c:pt idx="4">
                    <c:v>2016.III.</c:v>
                  </c:pt>
                  <c:pt idx="6">
                    <c:v>2016.IV.</c:v>
                  </c:pt>
                  <c:pt idx="8">
                    <c:v>2017.I.</c:v>
                  </c:pt>
                  <c:pt idx="10">
                    <c:v>2017.II.</c:v>
                  </c:pt>
                  <c:pt idx="12">
                    <c:v>2017.III.</c:v>
                  </c:pt>
                  <c:pt idx="14">
                    <c:v>2017.IV.</c:v>
                  </c:pt>
                  <c:pt idx="16">
                    <c:v>2018.I.</c:v>
                  </c:pt>
                  <c:pt idx="18">
                    <c:v>2018.II.</c:v>
                  </c:pt>
                  <c:pt idx="20">
                    <c:v>2018.III.</c:v>
                  </c:pt>
                  <c:pt idx="22">
                    <c:v>2018.IV.</c:v>
                  </c:pt>
                  <c:pt idx="24">
                    <c:v>2019.I.</c:v>
                  </c:pt>
                  <c:pt idx="26">
                    <c:v>2019.II.</c:v>
                  </c:pt>
                  <c:pt idx="28">
                    <c:v>2019.III.</c:v>
                  </c:pt>
                  <c:pt idx="30">
                    <c:v>2019.IV.</c:v>
                  </c:pt>
                  <c:pt idx="32">
                    <c:v>2020.I.</c:v>
                  </c:pt>
                  <c:pt idx="34">
                    <c:v>2020.II.</c:v>
                  </c:pt>
                  <c:pt idx="36">
                    <c:v>2020.III.</c:v>
                  </c:pt>
                  <c:pt idx="38">
                    <c:v>2020.IV. </c:v>
                  </c:pt>
                  <c:pt idx="40">
                    <c:v>2021.I.</c:v>
                  </c:pt>
                </c:lvl>
              </c:multiLvlStrCache>
            </c:multiLvlStrRef>
          </c:cat>
          <c:val>
            <c:numRef>
              <c:f>Idősorok_ábrák_Állományi!$BM$548:$DB$548</c:f>
              <c:numCache>
                <c:formatCode>0.00</c:formatCode>
                <c:ptCount val="42"/>
                <c:pt idx="0">
                  <c:v>7.1083327202575974</c:v>
                </c:pt>
                <c:pt idx="1">
                  <c:v>35.546175617103842</c:v>
                </c:pt>
                <c:pt idx="2">
                  <c:v>6.4003620947748088</c:v>
                </c:pt>
                <c:pt idx="3">
                  <c:v>37.016236674537481</c:v>
                </c:pt>
                <c:pt idx="4">
                  <c:v>6.716498192653245</c:v>
                </c:pt>
                <c:pt idx="5">
                  <c:v>36.953512049001844</c:v>
                </c:pt>
                <c:pt idx="6">
                  <c:v>6.6863133693985155</c:v>
                </c:pt>
                <c:pt idx="7">
                  <c:v>36.517768798541596</c:v>
                </c:pt>
                <c:pt idx="8">
                  <c:v>6.7995748360520736</c:v>
                </c:pt>
                <c:pt idx="9">
                  <c:v>38.318230791466029</c:v>
                </c:pt>
                <c:pt idx="10">
                  <c:v>6.7466401639031215</c:v>
                </c:pt>
                <c:pt idx="11">
                  <c:v>40.738270636441705</c:v>
                </c:pt>
                <c:pt idx="12">
                  <c:v>7.2542015773810089</c:v>
                </c:pt>
                <c:pt idx="13">
                  <c:v>43.198289308399836</c:v>
                </c:pt>
                <c:pt idx="14">
                  <c:v>7.5179672387643182</c:v>
                </c:pt>
                <c:pt idx="15">
                  <c:v>41.574929786261507</c:v>
                </c:pt>
                <c:pt idx="16">
                  <c:v>8.0585078998482178</c:v>
                </c:pt>
                <c:pt idx="17">
                  <c:v>42.775005116104204</c:v>
                </c:pt>
                <c:pt idx="18">
                  <c:v>8.0285956638703215</c:v>
                </c:pt>
                <c:pt idx="19">
                  <c:v>44.624247735014023</c:v>
                </c:pt>
                <c:pt idx="20">
                  <c:v>8.1426114884870628</c:v>
                </c:pt>
                <c:pt idx="21">
                  <c:v>42.701991344561065</c:v>
                </c:pt>
                <c:pt idx="22">
                  <c:v>8.4384288105431846</c:v>
                </c:pt>
                <c:pt idx="23">
                  <c:v>40.660927325513299</c:v>
                </c:pt>
                <c:pt idx="24">
                  <c:v>8.3548312643705014</c:v>
                </c:pt>
                <c:pt idx="25">
                  <c:v>41.607342890465731</c:v>
                </c:pt>
                <c:pt idx="26">
                  <c:v>7.6215069477022972</c:v>
                </c:pt>
                <c:pt idx="27">
                  <c:v>43.872868581272876</c:v>
                </c:pt>
                <c:pt idx="28">
                  <c:v>7.237745423078108</c:v>
                </c:pt>
                <c:pt idx="29">
                  <c:v>45.674570787569586</c:v>
                </c:pt>
                <c:pt idx="30">
                  <c:v>7.8178572751582269</c:v>
                </c:pt>
                <c:pt idx="31">
                  <c:v>39.795150563051493</c:v>
                </c:pt>
                <c:pt idx="32">
                  <c:v>8.3065524605955385</c:v>
                </c:pt>
                <c:pt idx="33">
                  <c:v>42.474698496617975</c:v>
                </c:pt>
                <c:pt idx="34">
                  <c:v>7.3876814817393361</c:v>
                </c:pt>
                <c:pt idx="35">
                  <c:v>43.358740919914254</c:v>
                </c:pt>
                <c:pt idx="36">
                  <c:v>6.8349591514730825</c:v>
                </c:pt>
                <c:pt idx="37">
                  <c:v>41.873326995300417</c:v>
                </c:pt>
                <c:pt idx="38">
                  <c:v>6.5393908381528076</c:v>
                </c:pt>
                <c:pt idx="39">
                  <c:v>40.271579825035239</c:v>
                </c:pt>
                <c:pt idx="40">
                  <c:v>5.5700094171785546</c:v>
                </c:pt>
                <c:pt idx="41">
                  <c:v>38.661477069703523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18-6A78-4CA7-A5EE-810BBCC48CB3}"/>
            </c:ext>
          </c:extLst>
        </c:ser>
        <c:ser>
          <c:idx val="1"/>
          <c:order val="1"/>
          <c:tx>
            <c:strRef>
              <c:f>Idősorok_ábrák_Állományi!$BL$549</c:f>
              <c:strCache>
                <c:ptCount val="1"/>
                <c:pt idx="0">
                  <c:v>Forint % - Mg</c:v>
                </c:pt>
              </c:strCache>
            </c:strRef>
          </c:tx>
          <c:spPr>
            <a:solidFill>
              <a:schemeClr val="accent2">
                <a:lumMod val="75000"/>
              </a:schemeClr>
            </a:solidFill>
          </c:spPr>
          <c:invertIfNegative val="0"/>
          <c:dPt>
            <c:idx val="1"/>
            <c:invertIfNegative val="0"/>
            <c:bubble3D val="0"/>
            <c:spPr>
              <a:solidFill>
                <a:schemeClr val="accent6">
                  <a:lumMod val="75000"/>
                </a:schemeClr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A-6A78-4CA7-A5EE-810BBCC48CB3}"/>
              </c:ext>
            </c:extLst>
          </c:dPt>
          <c:dPt>
            <c:idx val="3"/>
            <c:invertIfNegative val="0"/>
            <c:bubble3D val="0"/>
            <c:spPr>
              <a:solidFill>
                <a:schemeClr val="accent6">
                  <a:lumMod val="75000"/>
                </a:schemeClr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C-6A78-4CA7-A5EE-810BBCC48CB3}"/>
              </c:ext>
            </c:extLst>
          </c:dPt>
          <c:dPt>
            <c:idx val="5"/>
            <c:invertIfNegative val="0"/>
            <c:bubble3D val="0"/>
            <c:spPr>
              <a:solidFill>
                <a:schemeClr val="accent6">
                  <a:lumMod val="75000"/>
                </a:schemeClr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E-6A78-4CA7-A5EE-810BBCC48CB3}"/>
              </c:ext>
            </c:extLst>
          </c:dPt>
          <c:dPt>
            <c:idx val="7"/>
            <c:invertIfNegative val="0"/>
            <c:bubble3D val="0"/>
            <c:spPr>
              <a:solidFill>
                <a:schemeClr val="accent6">
                  <a:lumMod val="75000"/>
                </a:schemeClr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20-6A78-4CA7-A5EE-810BBCC48CB3}"/>
              </c:ext>
            </c:extLst>
          </c:dPt>
          <c:dPt>
            <c:idx val="9"/>
            <c:invertIfNegative val="0"/>
            <c:bubble3D val="0"/>
            <c:spPr>
              <a:solidFill>
                <a:schemeClr val="accent6">
                  <a:lumMod val="75000"/>
                </a:schemeClr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22-6A78-4CA7-A5EE-810BBCC48CB3}"/>
              </c:ext>
            </c:extLst>
          </c:dPt>
          <c:dPt>
            <c:idx val="11"/>
            <c:invertIfNegative val="0"/>
            <c:bubble3D val="0"/>
            <c:spPr>
              <a:solidFill>
                <a:schemeClr val="accent6">
                  <a:lumMod val="75000"/>
                </a:schemeClr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24-6A78-4CA7-A5EE-810BBCC48CB3}"/>
              </c:ext>
            </c:extLst>
          </c:dPt>
          <c:dPt>
            <c:idx val="13"/>
            <c:invertIfNegative val="0"/>
            <c:bubble3D val="0"/>
            <c:spPr>
              <a:solidFill>
                <a:schemeClr val="accent6">
                  <a:lumMod val="75000"/>
                </a:schemeClr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26-6A78-4CA7-A5EE-810BBCC48CB3}"/>
              </c:ext>
            </c:extLst>
          </c:dPt>
          <c:dPt>
            <c:idx val="15"/>
            <c:invertIfNegative val="0"/>
            <c:bubble3D val="0"/>
            <c:spPr>
              <a:solidFill>
                <a:schemeClr val="accent6">
                  <a:lumMod val="75000"/>
                </a:schemeClr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28-6A78-4CA7-A5EE-810BBCC48CB3}"/>
              </c:ext>
            </c:extLst>
          </c:dPt>
          <c:dPt>
            <c:idx val="17"/>
            <c:invertIfNegative val="0"/>
            <c:bubble3D val="0"/>
            <c:spPr>
              <a:solidFill>
                <a:schemeClr val="accent6">
                  <a:lumMod val="75000"/>
                </a:schemeClr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2A-6A78-4CA7-A5EE-810BBCC48CB3}"/>
              </c:ext>
            </c:extLst>
          </c:dPt>
          <c:dPt>
            <c:idx val="19"/>
            <c:invertIfNegative val="0"/>
            <c:bubble3D val="0"/>
            <c:spPr>
              <a:solidFill>
                <a:schemeClr val="accent6">
                  <a:lumMod val="75000"/>
                </a:schemeClr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2C-6A78-4CA7-A5EE-810BBCC48CB3}"/>
              </c:ext>
            </c:extLst>
          </c:dPt>
          <c:dPt>
            <c:idx val="21"/>
            <c:invertIfNegative val="0"/>
            <c:bubble3D val="0"/>
            <c:spPr>
              <a:solidFill>
                <a:schemeClr val="accent6">
                  <a:lumMod val="75000"/>
                </a:schemeClr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2E-6A78-4CA7-A5EE-810BBCC48CB3}"/>
              </c:ext>
            </c:extLst>
          </c:dPt>
          <c:dPt>
            <c:idx val="23"/>
            <c:invertIfNegative val="0"/>
            <c:bubble3D val="0"/>
            <c:spPr>
              <a:solidFill>
                <a:schemeClr val="accent6">
                  <a:lumMod val="75000"/>
                </a:schemeClr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30-6A78-4CA7-A5EE-810BBCC48CB3}"/>
              </c:ext>
            </c:extLst>
          </c:dPt>
          <c:dPt>
            <c:idx val="25"/>
            <c:invertIfNegative val="0"/>
            <c:bubble3D val="0"/>
            <c:spPr>
              <a:solidFill>
                <a:schemeClr val="accent6">
                  <a:lumMod val="75000"/>
                </a:schemeClr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41-2975-492A-924A-55E30A41C936}"/>
              </c:ext>
            </c:extLst>
          </c:dPt>
          <c:dPt>
            <c:idx val="27"/>
            <c:invertIfNegative val="0"/>
            <c:bubble3D val="0"/>
            <c:spPr>
              <a:solidFill>
                <a:schemeClr val="accent6">
                  <a:lumMod val="75000"/>
                </a:schemeClr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43-2975-492A-924A-55E30A41C936}"/>
              </c:ext>
            </c:extLst>
          </c:dPt>
          <c:dPt>
            <c:idx val="29"/>
            <c:invertIfNegative val="0"/>
            <c:bubble3D val="0"/>
            <c:spPr>
              <a:solidFill>
                <a:schemeClr val="accent6">
                  <a:lumMod val="75000"/>
                </a:schemeClr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45-2975-492A-924A-55E30A41C936}"/>
              </c:ext>
            </c:extLst>
          </c:dPt>
          <c:dPt>
            <c:idx val="31"/>
            <c:invertIfNegative val="0"/>
            <c:bubble3D val="0"/>
            <c:spPr>
              <a:solidFill>
                <a:schemeClr val="accent6">
                  <a:lumMod val="75000"/>
                </a:schemeClr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47-2975-492A-924A-55E30A41C936}"/>
              </c:ext>
            </c:extLst>
          </c:dPt>
          <c:dPt>
            <c:idx val="33"/>
            <c:invertIfNegative val="0"/>
            <c:bubble3D val="0"/>
            <c:spPr>
              <a:solidFill>
                <a:schemeClr val="accent6">
                  <a:lumMod val="75000"/>
                </a:schemeClr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49-2975-492A-924A-55E30A41C936}"/>
              </c:ext>
            </c:extLst>
          </c:dPt>
          <c:dPt>
            <c:idx val="35"/>
            <c:invertIfNegative val="0"/>
            <c:bubble3D val="0"/>
            <c:spPr>
              <a:solidFill>
                <a:schemeClr val="accent6">
                  <a:lumMod val="75000"/>
                </a:schemeClr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4B-2975-492A-924A-55E30A41C936}"/>
              </c:ext>
            </c:extLst>
          </c:dPt>
          <c:dPt>
            <c:idx val="37"/>
            <c:invertIfNegative val="0"/>
            <c:bubble3D val="0"/>
            <c:spPr>
              <a:solidFill>
                <a:schemeClr val="accent6">
                  <a:lumMod val="75000"/>
                </a:schemeClr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4D-2975-492A-924A-55E30A41C936}"/>
              </c:ext>
            </c:extLst>
          </c:dPt>
          <c:dPt>
            <c:idx val="39"/>
            <c:invertIfNegative val="0"/>
            <c:bubble3D val="0"/>
            <c:spPr>
              <a:solidFill>
                <a:schemeClr val="accent6">
                  <a:lumMod val="75000"/>
                </a:schemeClr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4F-2975-492A-924A-55E30A41C936}"/>
              </c:ext>
            </c:extLst>
          </c:dPt>
          <c:dLbls>
            <c:numFmt formatCode="#,##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050" b="1">
                    <a:solidFill>
                      <a:schemeClr val="bg1"/>
                    </a:solidFill>
                    <a:latin typeface="Times New Roman" panose="02020603050405020304" pitchFamily="18" charset="0"/>
                    <a:cs typeface="Times New Roman" panose="02020603050405020304" pitchFamily="18" charset="0"/>
                  </a:defRPr>
                </a:pPr>
                <a:endParaRPr lang="hu-H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multiLvlStrRef>
              <c:f>Idősorok_ábrák_Állományi!$BM$546:$DB$547</c:f>
              <c:multiLvlStrCache>
                <c:ptCount val="42"/>
                <c:lvl>
                  <c:pt idx="0">
                    <c:v>MG</c:v>
                  </c:pt>
                  <c:pt idx="1">
                    <c:v>ÉLIP</c:v>
                  </c:pt>
                  <c:pt idx="2">
                    <c:v>MG</c:v>
                  </c:pt>
                  <c:pt idx="3">
                    <c:v>ÉLIP</c:v>
                  </c:pt>
                  <c:pt idx="4">
                    <c:v>MG</c:v>
                  </c:pt>
                  <c:pt idx="5">
                    <c:v>ÉLIP</c:v>
                  </c:pt>
                  <c:pt idx="6">
                    <c:v>MG</c:v>
                  </c:pt>
                  <c:pt idx="7">
                    <c:v>ÉLIP</c:v>
                  </c:pt>
                  <c:pt idx="8">
                    <c:v>MG</c:v>
                  </c:pt>
                  <c:pt idx="9">
                    <c:v>ÉLIP</c:v>
                  </c:pt>
                  <c:pt idx="10">
                    <c:v>MG</c:v>
                  </c:pt>
                  <c:pt idx="11">
                    <c:v>ÉLIP</c:v>
                  </c:pt>
                  <c:pt idx="12">
                    <c:v>MG</c:v>
                  </c:pt>
                  <c:pt idx="13">
                    <c:v>ÉLIP</c:v>
                  </c:pt>
                  <c:pt idx="14">
                    <c:v>MG</c:v>
                  </c:pt>
                  <c:pt idx="15">
                    <c:v>ÉLIP</c:v>
                  </c:pt>
                  <c:pt idx="16">
                    <c:v>MG</c:v>
                  </c:pt>
                  <c:pt idx="17">
                    <c:v>ÉLIP</c:v>
                  </c:pt>
                  <c:pt idx="18">
                    <c:v>MG</c:v>
                  </c:pt>
                  <c:pt idx="19">
                    <c:v>ÉLIP</c:v>
                  </c:pt>
                  <c:pt idx="20">
                    <c:v>MG</c:v>
                  </c:pt>
                  <c:pt idx="21">
                    <c:v>ÉLIP</c:v>
                  </c:pt>
                  <c:pt idx="22">
                    <c:v>MG</c:v>
                  </c:pt>
                  <c:pt idx="23">
                    <c:v>ÉLIP</c:v>
                  </c:pt>
                  <c:pt idx="24">
                    <c:v>MG</c:v>
                  </c:pt>
                  <c:pt idx="25">
                    <c:v>ÉLIP</c:v>
                  </c:pt>
                  <c:pt idx="26">
                    <c:v>MG</c:v>
                  </c:pt>
                  <c:pt idx="27">
                    <c:v>ÉLIP</c:v>
                  </c:pt>
                  <c:pt idx="28">
                    <c:v>MG</c:v>
                  </c:pt>
                  <c:pt idx="29">
                    <c:v>ÉLIP</c:v>
                  </c:pt>
                  <c:pt idx="30">
                    <c:v>MG</c:v>
                  </c:pt>
                  <c:pt idx="31">
                    <c:v>ÉLIP</c:v>
                  </c:pt>
                  <c:pt idx="32">
                    <c:v>MG</c:v>
                  </c:pt>
                  <c:pt idx="33">
                    <c:v>ÉLIP</c:v>
                  </c:pt>
                  <c:pt idx="34">
                    <c:v>MG</c:v>
                  </c:pt>
                  <c:pt idx="35">
                    <c:v>ÉLIP</c:v>
                  </c:pt>
                  <c:pt idx="36">
                    <c:v>MG</c:v>
                  </c:pt>
                  <c:pt idx="37">
                    <c:v>ÉLIP</c:v>
                  </c:pt>
                  <c:pt idx="38">
                    <c:v>MG</c:v>
                  </c:pt>
                  <c:pt idx="39">
                    <c:v>ÉLIP</c:v>
                  </c:pt>
                  <c:pt idx="40">
                    <c:v>MG</c:v>
                  </c:pt>
                  <c:pt idx="41">
                    <c:v>ÉLIP</c:v>
                  </c:pt>
                </c:lvl>
                <c:lvl>
                  <c:pt idx="0">
                    <c:v>2016. I. </c:v>
                  </c:pt>
                  <c:pt idx="2">
                    <c:v>2016.II.</c:v>
                  </c:pt>
                  <c:pt idx="4">
                    <c:v>2016.III.</c:v>
                  </c:pt>
                  <c:pt idx="6">
                    <c:v>2016.IV.</c:v>
                  </c:pt>
                  <c:pt idx="8">
                    <c:v>2017.I.</c:v>
                  </c:pt>
                  <c:pt idx="10">
                    <c:v>2017.II.</c:v>
                  </c:pt>
                  <c:pt idx="12">
                    <c:v>2017.III.</c:v>
                  </c:pt>
                  <c:pt idx="14">
                    <c:v>2017.IV.</c:v>
                  </c:pt>
                  <c:pt idx="16">
                    <c:v>2018.I.</c:v>
                  </c:pt>
                  <c:pt idx="18">
                    <c:v>2018.II.</c:v>
                  </c:pt>
                  <c:pt idx="20">
                    <c:v>2018.III.</c:v>
                  </c:pt>
                  <c:pt idx="22">
                    <c:v>2018.IV.</c:v>
                  </c:pt>
                  <c:pt idx="24">
                    <c:v>2019.I.</c:v>
                  </c:pt>
                  <c:pt idx="26">
                    <c:v>2019.II.</c:v>
                  </c:pt>
                  <c:pt idx="28">
                    <c:v>2019.III.</c:v>
                  </c:pt>
                  <c:pt idx="30">
                    <c:v>2019.IV.</c:v>
                  </c:pt>
                  <c:pt idx="32">
                    <c:v>2020.I.</c:v>
                  </c:pt>
                  <c:pt idx="34">
                    <c:v>2020.II.</c:v>
                  </c:pt>
                  <c:pt idx="36">
                    <c:v>2020.III.</c:v>
                  </c:pt>
                  <c:pt idx="38">
                    <c:v>2020.IV. </c:v>
                  </c:pt>
                  <c:pt idx="40">
                    <c:v>2021.I.</c:v>
                  </c:pt>
                </c:lvl>
              </c:multiLvlStrCache>
            </c:multiLvlStrRef>
          </c:cat>
          <c:val>
            <c:numRef>
              <c:f>Idősorok_ábrák_Állományi!$BM$549:$DB$549</c:f>
              <c:numCache>
                <c:formatCode>0.00</c:formatCode>
                <c:ptCount val="42"/>
                <c:pt idx="0">
                  <c:v>92.891505180674287</c:v>
                </c:pt>
                <c:pt idx="1">
                  <c:v>64.453824382896158</c:v>
                </c:pt>
                <c:pt idx="2">
                  <c:v>93.599676706508831</c:v>
                </c:pt>
                <c:pt idx="3">
                  <c:v>62.983763325462519</c:v>
                </c:pt>
                <c:pt idx="4">
                  <c:v>93.283380635802942</c:v>
                </c:pt>
                <c:pt idx="5">
                  <c:v>63.046487950998163</c:v>
                </c:pt>
                <c:pt idx="6">
                  <c:v>93.313701585441606</c:v>
                </c:pt>
                <c:pt idx="7">
                  <c:v>63.482231201458404</c:v>
                </c:pt>
                <c:pt idx="8">
                  <c:v>93.200414249801682</c:v>
                </c:pt>
                <c:pt idx="9">
                  <c:v>61.681769208533964</c:v>
                </c:pt>
                <c:pt idx="10">
                  <c:v>93.253368186126451</c:v>
                </c:pt>
                <c:pt idx="11">
                  <c:v>59.261729363558302</c:v>
                </c:pt>
                <c:pt idx="12">
                  <c:v>92.745887912346987</c:v>
                </c:pt>
                <c:pt idx="13">
                  <c:v>56.801710691600164</c:v>
                </c:pt>
                <c:pt idx="14">
                  <c:v>92.482021559659316</c:v>
                </c:pt>
                <c:pt idx="15">
                  <c:v>58.425070213738493</c:v>
                </c:pt>
                <c:pt idx="16">
                  <c:v>91.941489882281587</c:v>
                </c:pt>
                <c:pt idx="17">
                  <c:v>57.224994883895796</c:v>
                </c:pt>
                <c:pt idx="18">
                  <c:v>91.971474162492626</c:v>
                </c:pt>
                <c:pt idx="19">
                  <c:v>55.375752264985977</c:v>
                </c:pt>
                <c:pt idx="20">
                  <c:v>91.857373822016314</c:v>
                </c:pt>
                <c:pt idx="21">
                  <c:v>57.298008655438927</c:v>
                </c:pt>
                <c:pt idx="22">
                  <c:v>91.561571189456799</c:v>
                </c:pt>
                <c:pt idx="23">
                  <c:v>59.339072674486701</c:v>
                </c:pt>
                <c:pt idx="24">
                  <c:v>91.645168735629497</c:v>
                </c:pt>
                <c:pt idx="25">
                  <c:v>58.392657109534262</c:v>
                </c:pt>
                <c:pt idx="26">
                  <c:v>92.378493052297699</c:v>
                </c:pt>
                <c:pt idx="27">
                  <c:v>56.127131418727117</c:v>
                </c:pt>
                <c:pt idx="28">
                  <c:v>92.76225457692189</c:v>
                </c:pt>
                <c:pt idx="29">
                  <c:v>54.325429212430421</c:v>
                </c:pt>
                <c:pt idx="30">
                  <c:v>92.182142724841782</c:v>
                </c:pt>
                <c:pt idx="31">
                  <c:v>60.204849436948514</c:v>
                </c:pt>
                <c:pt idx="32">
                  <c:v>91.693574392401089</c:v>
                </c:pt>
                <c:pt idx="33">
                  <c:v>57.525365887438355</c:v>
                </c:pt>
                <c:pt idx="34">
                  <c:v>92.612447445879411</c:v>
                </c:pt>
                <c:pt idx="35">
                  <c:v>56.641259080085746</c:v>
                </c:pt>
                <c:pt idx="36">
                  <c:v>93.165163923329317</c:v>
                </c:pt>
                <c:pt idx="37">
                  <c:v>58.126673004699583</c:v>
                </c:pt>
                <c:pt idx="38">
                  <c:v>93.460609161847202</c:v>
                </c:pt>
                <c:pt idx="39">
                  <c:v>59.728420174964761</c:v>
                </c:pt>
                <c:pt idx="40">
                  <c:v>94.429990582821446</c:v>
                </c:pt>
                <c:pt idx="41">
                  <c:v>61.33852293029647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31-6A78-4CA7-A5EE-810BBCC48CB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cylinder"/>
        <c:axId val="570984960"/>
        <c:axId val="570977904"/>
        <c:axId val="0"/>
      </c:bar3DChart>
      <c:catAx>
        <c:axId val="570984960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spPr>
          <a:noFill/>
        </c:spPr>
        <c:crossAx val="570977904"/>
        <c:crosses val="autoZero"/>
        <c:auto val="1"/>
        <c:lblAlgn val="ctr"/>
        <c:lblOffset val="100"/>
        <c:noMultiLvlLbl val="0"/>
      </c:catAx>
      <c:valAx>
        <c:axId val="570977904"/>
        <c:scaling>
          <c:orientation val="minMax"/>
          <c:max val="100"/>
        </c:scaling>
        <c:delete val="0"/>
        <c:axPos val="l"/>
        <c:majorGridlines/>
        <c:numFmt formatCode="0.00" sourceLinked="1"/>
        <c:majorTickMark val="out"/>
        <c:minorTickMark val="none"/>
        <c:tickLblPos val="nextTo"/>
        <c:crossAx val="570984960"/>
        <c:crosses val="autoZero"/>
        <c:crossBetween val="between"/>
      </c:valAx>
    </c:plotArea>
    <c:legend>
      <c:legendPos val="b"/>
      <c:overlay val="0"/>
      <c:txPr>
        <a:bodyPr/>
        <a:lstStyle/>
        <a:p>
          <a:pPr>
            <a:defRPr>
              <a:latin typeface="Times New Roman" panose="02020603050405020304" pitchFamily="18" charset="0"/>
              <a:cs typeface="Times New Roman" panose="02020603050405020304" pitchFamily="18" charset="0"/>
            </a:defRPr>
          </a:pPr>
          <a:endParaRPr lang="hu-HU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4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hu-H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Idősorok_ábrák_Állományi!$J$125</c:f>
              <c:strCache>
                <c:ptCount val="1"/>
                <c:pt idx="0">
                  <c:v>Élip összes (millió Ft)</c:v>
                </c:pt>
              </c:strCache>
            </c:strRef>
          </c:tx>
          <c:spPr>
            <a:solidFill>
              <a:srgbClr val="FFC000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 b="1"/>
                </a:pPr>
                <a:endParaRPr lang="hu-HU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Idősorok_ábrák_Állományi!$K$124:$AF$124</c:f>
              <c:strCache>
                <c:ptCount val="22"/>
                <c:pt idx="0">
                  <c:v>2016. I. </c:v>
                </c:pt>
                <c:pt idx="1">
                  <c:v>2016.II.</c:v>
                </c:pt>
                <c:pt idx="2">
                  <c:v>2016.III.</c:v>
                </c:pt>
                <c:pt idx="3">
                  <c:v>2016.IV.</c:v>
                </c:pt>
                <c:pt idx="4">
                  <c:v>2017.I.</c:v>
                </c:pt>
                <c:pt idx="5">
                  <c:v>2017.II.</c:v>
                </c:pt>
                <c:pt idx="6">
                  <c:v>2017.III.</c:v>
                </c:pt>
                <c:pt idx="7">
                  <c:v>2017.IV.</c:v>
                </c:pt>
                <c:pt idx="8">
                  <c:v>2018.I.R</c:v>
                </c:pt>
                <c:pt idx="9">
                  <c:v>2018.I.Ú</c:v>
                </c:pt>
                <c:pt idx="10">
                  <c:v>2018.II.</c:v>
                </c:pt>
                <c:pt idx="11">
                  <c:v>2018.III.</c:v>
                </c:pt>
                <c:pt idx="12">
                  <c:v>2018.IV.</c:v>
                </c:pt>
                <c:pt idx="13">
                  <c:v>2019.I.</c:v>
                </c:pt>
                <c:pt idx="14">
                  <c:v>2019.II.</c:v>
                </c:pt>
                <c:pt idx="15">
                  <c:v>2019.III.</c:v>
                </c:pt>
                <c:pt idx="16">
                  <c:v>2019.IV.</c:v>
                </c:pt>
                <c:pt idx="17">
                  <c:v>2020.I.</c:v>
                </c:pt>
                <c:pt idx="18">
                  <c:v>2020.II.</c:v>
                </c:pt>
                <c:pt idx="19">
                  <c:v>2020.III.</c:v>
                </c:pt>
                <c:pt idx="20">
                  <c:v>2020.IV.</c:v>
                </c:pt>
                <c:pt idx="21">
                  <c:v>2021. I.</c:v>
                </c:pt>
              </c:strCache>
            </c:strRef>
          </c:cat>
          <c:val>
            <c:numRef>
              <c:f>Idősorok_ábrák_Állományi!$K$125:$AF$125</c:f>
              <c:numCache>
                <c:formatCode>#\ ##0.0</c:formatCode>
                <c:ptCount val="22"/>
                <c:pt idx="0">
                  <c:v>383.82100000000003</c:v>
                </c:pt>
                <c:pt idx="1">
                  <c:v>389.87400000000002</c:v>
                </c:pt>
                <c:pt idx="2">
                  <c:v>415.92200000000003</c:v>
                </c:pt>
                <c:pt idx="3">
                  <c:v>422.26400000000001</c:v>
                </c:pt>
                <c:pt idx="4">
                  <c:v>392.75</c:v>
                </c:pt>
                <c:pt idx="5">
                  <c:v>383.505</c:v>
                </c:pt>
                <c:pt idx="6">
                  <c:v>428.51299999999998</c:v>
                </c:pt>
                <c:pt idx="7">
                  <c:v>459.96600000000001</c:v>
                </c:pt>
                <c:pt idx="8">
                  <c:v>450.392</c:v>
                </c:pt>
                <c:pt idx="9">
                  <c:v>453.423</c:v>
                </c:pt>
                <c:pt idx="10">
                  <c:v>465.18400000000003</c:v>
                </c:pt>
                <c:pt idx="11">
                  <c:v>495.97199999999998</c:v>
                </c:pt>
                <c:pt idx="12">
                  <c:v>505.14299999999997</c:v>
                </c:pt>
                <c:pt idx="13">
                  <c:v>520.44899999999996</c:v>
                </c:pt>
                <c:pt idx="14">
                  <c:v>510.81</c:v>
                </c:pt>
                <c:pt idx="15">
                  <c:v>546.46600000000001</c:v>
                </c:pt>
                <c:pt idx="16">
                  <c:v>544.88800000000003</c:v>
                </c:pt>
                <c:pt idx="17">
                  <c:v>559.14463999999998</c:v>
                </c:pt>
                <c:pt idx="18">
                  <c:v>530.41899999999998</c:v>
                </c:pt>
                <c:pt idx="19">
                  <c:v>593.24400000000003</c:v>
                </c:pt>
                <c:pt idx="20">
                  <c:v>616.46699999999998</c:v>
                </c:pt>
                <c:pt idx="21">
                  <c:v>620.72900000000004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4C6A-4FB1-A234-D6F2911EB34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70981824"/>
        <c:axId val="570985352"/>
      </c:barChart>
      <c:catAx>
        <c:axId val="570981824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ysClr val="windowText" lastClr="000000"/>
                </a:solidFill>
              </a:defRPr>
            </a:pPr>
            <a:endParaRPr lang="hu-HU"/>
          </a:p>
        </c:txPr>
        <c:crossAx val="570985352"/>
        <c:crosses val="autoZero"/>
        <c:auto val="1"/>
        <c:lblAlgn val="ctr"/>
        <c:lblOffset val="100"/>
        <c:noMultiLvlLbl val="0"/>
      </c:catAx>
      <c:valAx>
        <c:axId val="570985352"/>
        <c:scaling>
          <c:orientation val="minMax"/>
        </c:scaling>
        <c:delete val="0"/>
        <c:axPos val="l"/>
        <c:majorGridlines/>
        <c:numFmt formatCode="#\ ##0.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ysClr val="windowText" lastClr="000000"/>
                </a:solidFill>
              </a:defRPr>
            </a:pPr>
            <a:endParaRPr lang="hu-HU"/>
          </a:p>
        </c:txPr>
        <c:crossAx val="570981824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txPr>
    <a:bodyPr/>
    <a:lstStyle/>
    <a:p>
      <a:pPr>
        <a:defRPr>
          <a:latin typeface="Times New Roman" panose="02020603050405020304" pitchFamily="18" charset="0"/>
          <a:cs typeface="Times New Roman" panose="02020603050405020304" pitchFamily="18" charset="0"/>
        </a:defRPr>
      </a:pPr>
      <a:endParaRPr lang="hu-HU"/>
    </a:p>
  </c:txPr>
  <c:printSettings>
    <c:headerFooter/>
    <c:pageMargins b="0.75" l="0.7" r="0.7" t="0.75" header="0.3" footer="0.3"/>
    <c:pageSetup/>
  </c:printSettings>
</c:chartSpace>
</file>

<file path=xl/charts/chart4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hu-H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>
                <a:latin typeface="Times New Roman" panose="02020603050405020304" pitchFamily="18" charset="0"/>
                <a:cs typeface="Times New Roman" panose="02020603050405020304" pitchFamily="18" charset="0"/>
              </a:defRPr>
            </a:pPr>
            <a:r>
              <a:rPr lang="en-US">
                <a:latin typeface="Times New Roman" panose="02020603050405020304" pitchFamily="18" charset="0"/>
                <a:cs typeface="Times New Roman" panose="02020603050405020304" pitchFamily="18" charset="0"/>
              </a:rPr>
              <a:t>Mez</a:t>
            </a:r>
            <a:r>
              <a:rPr lang="hu-HU">
                <a:latin typeface="Times New Roman" panose="02020603050405020304" pitchFamily="18" charset="0"/>
                <a:cs typeface="Times New Roman" panose="02020603050405020304" pitchFamily="18" charset="0"/>
              </a:rPr>
              <a:t>őgazdasági hitelállomány</a:t>
            </a:r>
            <a:endParaRPr lang="en-US">
              <a:latin typeface="Times New Roman" panose="02020603050405020304" pitchFamily="18" charset="0"/>
              <a:cs typeface="Times New Roman" panose="02020603050405020304" pitchFamily="18" charset="0"/>
            </a:endParaRPr>
          </a:p>
        </c:rich>
      </c:tx>
      <c:overlay val="0"/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Idősorok_ábrák_Állományi!$J$92</c:f>
              <c:strCache>
                <c:ptCount val="1"/>
                <c:pt idx="0">
                  <c:v>Egyéni gazdaságok (milliárd Ft)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 b="1">
                    <a:latin typeface="Times New Roman" panose="02020603050405020304" pitchFamily="18" charset="0"/>
                    <a:cs typeface="Times New Roman" panose="02020603050405020304" pitchFamily="18" charset="0"/>
                  </a:defRPr>
                </a:pPr>
                <a:endParaRPr lang="hu-H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Idősorok_ábrák_Állományi!$K$91:$AF$91</c:f>
              <c:strCache>
                <c:ptCount val="22"/>
                <c:pt idx="0">
                  <c:v>2016. I. </c:v>
                </c:pt>
                <c:pt idx="1">
                  <c:v>2016.II.</c:v>
                </c:pt>
                <c:pt idx="2">
                  <c:v>2016.III.</c:v>
                </c:pt>
                <c:pt idx="3">
                  <c:v>2016.IV.</c:v>
                </c:pt>
                <c:pt idx="4">
                  <c:v>2017.I.</c:v>
                </c:pt>
                <c:pt idx="5">
                  <c:v>2017.II.</c:v>
                </c:pt>
                <c:pt idx="6">
                  <c:v>2017.III.</c:v>
                </c:pt>
                <c:pt idx="7">
                  <c:v>2017.IV.</c:v>
                </c:pt>
                <c:pt idx="8">
                  <c:v>2018.I.R</c:v>
                </c:pt>
                <c:pt idx="9">
                  <c:v>2018.I.Ú</c:v>
                </c:pt>
                <c:pt idx="10">
                  <c:v>2018.II.</c:v>
                </c:pt>
                <c:pt idx="11">
                  <c:v>2018.III.</c:v>
                </c:pt>
                <c:pt idx="12">
                  <c:v>2018.IV.</c:v>
                </c:pt>
                <c:pt idx="13">
                  <c:v>2019.I.</c:v>
                </c:pt>
                <c:pt idx="14">
                  <c:v>2019.II.</c:v>
                </c:pt>
                <c:pt idx="15">
                  <c:v>2019.III.</c:v>
                </c:pt>
                <c:pt idx="16">
                  <c:v>2019. IV.</c:v>
                </c:pt>
                <c:pt idx="17">
                  <c:v>2020.I.</c:v>
                </c:pt>
                <c:pt idx="18">
                  <c:v>2020.II.</c:v>
                </c:pt>
                <c:pt idx="19">
                  <c:v>2020.III.</c:v>
                </c:pt>
                <c:pt idx="20">
                  <c:v>2020.IV.</c:v>
                </c:pt>
                <c:pt idx="21">
                  <c:v>2021. I.</c:v>
                </c:pt>
              </c:strCache>
            </c:strRef>
          </c:cat>
          <c:val>
            <c:numRef>
              <c:f>Idősorok_ábrák_Állományi!$K$92:$AF$92</c:f>
              <c:numCache>
                <c:formatCode>#,##0</c:formatCode>
                <c:ptCount val="22"/>
                <c:pt idx="0">
                  <c:v>108687</c:v>
                </c:pt>
                <c:pt idx="1">
                  <c:v>122266</c:v>
                </c:pt>
                <c:pt idx="2">
                  <c:v>159079</c:v>
                </c:pt>
                <c:pt idx="3">
                  <c:v>252637</c:v>
                </c:pt>
                <c:pt idx="4">
                  <c:v>292254</c:v>
                </c:pt>
                <c:pt idx="5">
                  <c:v>314296</c:v>
                </c:pt>
                <c:pt idx="6">
                  <c:v>329297</c:v>
                </c:pt>
                <c:pt idx="7">
                  <c:v>305031</c:v>
                </c:pt>
                <c:pt idx="8">
                  <c:v>296198</c:v>
                </c:pt>
                <c:pt idx="9">
                  <c:v>317654</c:v>
                </c:pt>
                <c:pt idx="10">
                  <c:v>330403</c:v>
                </c:pt>
                <c:pt idx="11">
                  <c:v>336233</c:v>
                </c:pt>
                <c:pt idx="12">
                  <c:v>309922</c:v>
                </c:pt>
                <c:pt idx="13">
                  <c:v>334360</c:v>
                </c:pt>
                <c:pt idx="14">
                  <c:v>348750</c:v>
                </c:pt>
                <c:pt idx="15">
                  <c:v>357578</c:v>
                </c:pt>
                <c:pt idx="16">
                  <c:v>348857</c:v>
                </c:pt>
                <c:pt idx="17">
                  <c:v>340813.73</c:v>
                </c:pt>
                <c:pt idx="18">
                  <c:v>362948</c:v>
                </c:pt>
                <c:pt idx="19">
                  <c:v>373263</c:v>
                </c:pt>
                <c:pt idx="20">
                  <c:v>365757</c:v>
                </c:pt>
                <c:pt idx="21">
                  <c:v>362288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8A6E-423A-8281-0FDA795DDB6F}"/>
            </c:ext>
          </c:extLst>
        </c:ser>
        <c:ser>
          <c:idx val="1"/>
          <c:order val="1"/>
          <c:tx>
            <c:strRef>
              <c:f>Idősorok_ábrák_Állományi!$J$93</c:f>
              <c:strCache>
                <c:ptCount val="1"/>
                <c:pt idx="0">
                  <c:v>Gazdasági szervezetek (milliárd Ft)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 b="1">
                    <a:latin typeface="Times New Roman" panose="02020603050405020304" pitchFamily="18" charset="0"/>
                    <a:cs typeface="Times New Roman" panose="02020603050405020304" pitchFamily="18" charset="0"/>
                  </a:defRPr>
                </a:pPr>
                <a:endParaRPr lang="hu-HU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Idősorok_ábrák_Állományi!$K$91:$AF$91</c:f>
              <c:strCache>
                <c:ptCount val="22"/>
                <c:pt idx="0">
                  <c:v>2016. I. </c:v>
                </c:pt>
                <c:pt idx="1">
                  <c:v>2016.II.</c:v>
                </c:pt>
                <c:pt idx="2">
                  <c:v>2016.III.</c:v>
                </c:pt>
                <c:pt idx="3">
                  <c:v>2016.IV.</c:v>
                </c:pt>
                <c:pt idx="4">
                  <c:v>2017.I.</c:v>
                </c:pt>
                <c:pt idx="5">
                  <c:v>2017.II.</c:v>
                </c:pt>
                <c:pt idx="6">
                  <c:v>2017.III.</c:v>
                </c:pt>
                <c:pt idx="7">
                  <c:v>2017.IV.</c:v>
                </c:pt>
                <c:pt idx="8">
                  <c:v>2018.I.R</c:v>
                </c:pt>
                <c:pt idx="9">
                  <c:v>2018.I.Ú</c:v>
                </c:pt>
                <c:pt idx="10">
                  <c:v>2018.II.</c:v>
                </c:pt>
                <c:pt idx="11">
                  <c:v>2018.III.</c:v>
                </c:pt>
                <c:pt idx="12">
                  <c:v>2018.IV.</c:v>
                </c:pt>
                <c:pt idx="13">
                  <c:v>2019.I.</c:v>
                </c:pt>
                <c:pt idx="14">
                  <c:v>2019.II.</c:v>
                </c:pt>
                <c:pt idx="15">
                  <c:v>2019.III.</c:v>
                </c:pt>
                <c:pt idx="16">
                  <c:v>2019. IV.</c:v>
                </c:pt>
                <c:pt idx="17">
                  <c:v>2020.I.</c:v>
                </c:pt>
                <c:pt idx="18">
                  <c:v>2020.II.</c:v>
                </c:pt>
                <c:pt idx="19">
                  <c:v>2020.III.</c:v>
                </c:pt>
                <c:pt idx="20">
                  <c:v>2020.IV.</c:v>
                </c:pt>
                <c:pt idx="21">
                  <c:v>2021. I.</c:v>
                </c:pt>
              </c:strCache>
            </c:strRef>
          </c:cat>
          <c:val>
            <c:numRef>
              <c:f>Idősorok_ábrák_Állományi!$K$93:$AF$93</c:f>
              <c:numCache>
                <c:formatCode>#,##0</c:formatCode>
                <c:ptCount val="22"/>
                <c:pt idx="0">
                  <c:v>332549</c:v>
                </c:pt>
                <c:pt idx="1">
                  <c:v>336064</c:v>
                </c:pt>
                <c:pt idx="2">
                  <c:v>349695</c:v>
                </c:pt>
                <c:pt idx="3">
                  <c:v>310613</c:v>
                </c:pt>
                <c:pt idx="4">
                  <c:v>312786</c:v>
                </c:pt>
                <c:pt idx="5">
                  <c:v>308184</c:v>
                </c:pt>
                <c:pt idx="6">
                  <c:v>315427</c:v>
                </c:pt>
                <c:pt idx="7">
                  <c:v>305628</c:v>
                </c:pt>
                <c:pt idx="8">
                  <c:v>284170</c:v>
                </c:pt>
                <c:pt idx="9">
                  <c:v>301467</c:v>
                </c:pt>
                <c:pt idx="10">
                  <c:v>314305</c:v>
                </c:pt>
                <c:pt idx="11">
                  <c:v>331171</c:v>
                </c:pt>
                <c:pt idx="12">
                  <c:v>314528</c:v>
                </c:pt>
                <c:pt idx="13">
                  <c:v>350202</c:v>
                </c:pt>
                <c:pt idx="14">
                  <c:v>373863</c:v>
                </c:pt>
                <c:pt idx="15">
                  <c:v>388939</c:v>
                </c:pt>
                <c:pt idx="16">
                  <c:v>380000</c:v>
                </c:pt>
                <c:pt idx="17">
                  <c:v>392318.33999999997</c:v>
                </c:pt>
                <c:pt idx="18">
                  <c:v>412681</c:v>
                </c:pt>
                <c:pt idx="19">
                  <c:v>439251</c:v>
                </c:pt>
                <c:pt idx="20">
                  <c:v>449166</c:v>
                </c:pt>
                <c:pt idx="21">
                  <c:v>452181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8A6E-423A-8281-0FDA795DDB6F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100"/>
        <c:axId val="570975552"/>
        <c:axId val="570977120"/>
      </c:barChart>
      <c:catAx>
        <c:axId val="57097555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ysClr val="windowText" lastClr="000000"/>
                </a:solidFill>
                <a:latin typeface="Times New Roman" panose="02020603050405020304" pitchFamily="18" charset="0"/>
                <a:cs typeface="Times New Roman" panose="02020603050405020304" pitchFamily="18" charset="0"/>
              </a:defRPr>
            </a:pPr>
            <a:endParaRPr lang="hu-HU"/>
          </a:p>
        </c:txPr>
        <c:crossAx val="570977120"/>
        <c:crosses val="autoZero"/>
        <c:auto val="1"/>
        <c:lblAlgn val="ctr"/>
        <c:lblOffset val="100"/>
        <c:noMultiLvlLbl val="0"/>
      </c:catAx>
      <c:valAx>
        <c:axId val="570977120"/>
        <c:scaling>
          <c:orientation val="minMax"/>
        </c:scaling>
        <c:delete val="0"/>
        <c:axPos val="l"/>
        <c:majorGridlines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ysClr val="windowText" lastClr="000000"/>
                </a:solidFill>
                <a:latin typeface="Times New Roman" panose="02020603050405020304" pitchFamily="18" charset="0"/>
                <a:cs typeface="Times New Roman" panose="02020603050405020304" pitchFamily="18" charset="0"/>
              </a:defRPr>
            </a:pPr>
            <a:endParaRPr lang="hu-HU"/>
          </a:p>
        </c:txPr>
        <c:crossAx val="570975552"/>
        <c:crosses val="autoZero"/>
        <c:crossBetween val="between"/>
      </c:valAx>
    </c:plotArea>
    <c:legend>
      <c:legendPos val="b"/>
      <c:overlay val="0"/>
      <c:txPr>
        <a:bodyPr/>
        <a:lstStyle/>
        <a:p>
          <a:pPr>
            <a:defRPr sz="1100">
              <a:solidFill>
                <a:sysClr val="windowText" lastClr="000000"/>
              </a:solidFill>
              <a:latin typeface="Times New Roman" panose="02020603050405020304" pitchFamily="18" charset="0"/>
              <a:cs typeface="Times New Roman" panose="02020603050405020304" pitchFamily="18" charset="0"/>
            </a:defRPr>
          </a:pPr>
          <a:endParaRPr lang="hu-HU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4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hu-H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Idősorok_ábrák_Állományi!$D$305</c:f>
              <c:strCache>
                <c:ptCount val="1"/>
                <c:pt idx="0">
                  <c:v>Mg. beruházási hitelei (milliárd Ft)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 b="1"/>
                </a:pPr>
                <a:endParaRPr lang="hu-H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Idősorok_ábrák_Állományi!$E$302:$Z$302</c:f>
              <c:strCache>
                <c:ptCount val="22"/>
                <c:pt idx="0">
                  <c:v>2016. I. </c:v>
                </c:pt>
                <c:pt idx="1">
                  <c:v>2016.II.</c:v>
                </c:pt>
                <c:pt idx="2">
                  <c:v>2016.III.</c:v>
                </c:pt>
                <c:pt idx="3">
                  <c:v>2016.IV.</c:v>
                </c:pt>
                <c:pt idx="4">
                  <c:v>2017.I.</c:v>
                </c:pt>
                <c:pt idx="5">
                  <c:v>2017.II.</c:v>
                </c:pt>
                <c:pt idx="6">
                  <c:v>2017.III.</c:v>
                </c:pt>
                <c:pt idx="7">
                  <c:v>2017.IV.</c:v>
                </c:pt>
                <c:pt idx="8">
                  <c:v>2018.I.R</c:v>
                </c:pt>
                <c:pt idx="9">
                  <c:v>2018.I.Ú</c:v>
                </c:pt>
                <c:pt idx="10">
                  <c:v>2018.II.</c:v>
                </c:pt>
                <c:pt idx="11">
                  <c:v>2018.III.</c:v>
                </c:pt>
                <c:pt idx="12">
                  <c:v>2018.IV.</c:v>
                </c:pt>
                <c:pt idx="13">
                  <c:v>2019.I.</c:v>
                </c:pt>
                <c:pt idx="14">
                  <c:v>2019.II.</c:v>
                </c:pt>
                <c:pt idx="15">
                  <c:v>2019.III.</c:v>
                </c:pt>
                <c:pt idx="16">
                  <c:v>2019.IV.</c:v>
                </c:pt>
                <c:pt idx="17">
                  <c:v>2020.I.</c:v>
                </c:pt>
                <c:pt idx="18">
                  <c:v>2020.II.</c:v>
                </c:pt>
                <c:pt idx="19">
                  <c:v>2020.III.</c:v>
                </c:pt>
                <c:pt idx="20">
                  <c:v>2020.IV.</c:v>
                </c:pt>
                <c:pt idx="21">
                  <c:v>2021.I.</c:v>
                </c:pt>
              </c:strCache>
            </c:strRef>
          </c:cat>
          <c:val>
            <c:numRef>
              <c:f>Idősorok_ábrák_Állományi!$E$305:$Z$305</c:f>
              <c:numCache>
                <c:formatCode>#,##0</c:formatCode>
                <c:ptCount val="22"/>
                <c:pt idx="0">
                  <c:v>183218</c:v>
                </c:pt>
                <c:pt idx="1">
                  <c:v>184360</c:v>
                </c:pt>
                <c:pt idx="2">
                  <c:v>205315</c:v>
                </c:pt>
                <c:pt idx="3">
                  <c:v>292403</c:v>
                </c:pt>
                <c:pt idx="4">
                  <c:v>319031</c:v>
                </c:pt>
                <c:pt idx="5">
                  <c:v>330064</c:v>
                </c:pt>
                <c:pt idx="6">
                  <c:v>336812</c:v>
                </c:pt>
                <c:pt idx="7">
                  <c:v>324162</c:v>
                </c:pt>
                <c:pt idx="8">
                  <c:v>310380</c:v>
                </c:pt>
                <c:pt idx="9">
                  <c:v>349121</c:v>
                </c:pt>
                <c:pt idx="10">
                  <c:v>359335</c:v>
                </c:pt>
                <c:pt idx="11">
                  <c:v>361384</c:v>
                </c:pt>
                <c:pt idx="12">
                  <c:v>305908</c:v>
                </c:pt>
                <c:pt idx="13">
                  <c:v>370498</c:v>
                </c:pt>
                <c:pt idx="14">
                  <c:v>393784</c:v>
                </c:pt>
                <c:pt idx="15">
                  <c:v>415155</c:v>
                </c:pt>
                <c:pt idx="16">
                  <c:v>406421</c:v>
                </c:pt>
                <c:pt idx="17">
                  <c:v>412445</c:v>
                </c:pt>
                <c:pt idx="18">
                  <c:v>437432</c:v>
                </c:pt>
                <c:pt idx="19">
                  <c:v>443776</c:v>
                </c:pt>
                <c:pt idx="20">
                  <c:v>459351</c:v>
                </c:pt>
                <c:pt idx="21">
                  <c:v>458781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C82D-4906-A05B-622D2CD4725B}"/>
            </c:ext>
          </c:extLst>
        </c:ser>
        <c:ser>
          <c:idx val="1"/>
          <c:order val="1"/>
          <c:tx>
            <c:strRef>
              <c:f>Idősorok_ábrák_Állományi!$D$310</c:f>
              <c:strCache>
                <c:ptCount val="1"/>
                <c:pt idx="0">
                  <c:v>Mg. hosszú lejáratú forgóeszköz hitelei (milliárd Ft)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 b="1"/>
                </a:pPr>
                <a:endParaRPr lang="hu-H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Idősorok_ábrák_Állományi!$E$302:$Z$302</c:f>
              <c:strCache>
                <c:ptCount val="22"/>
                <c:pt idx="0">
                  <c:v>2016. I. </c:v>
                </c:pt>
                <c:pt idx="1">
                  <c:v>2016.II.</c:v>
                </c:pt>
                <c:pt idx="2">
                  <c:v>2016.III.</c:v>
                </c:pt>
                <c:pt idx="3">
                  <c:v>2016.IV.</c:v>
                </c:pt>
                <c:pt idx="4">
                  <c:v>2017.I.</c:v>
                </c:pt>
                <c:pt idx="5">
                  <c:v>2017.II.</c:v>
                </c:pt>
                <c:pt idx="6">
                  <c:v>2017.III.</c:v>
                </c:pt>
                <c:pt idx="7">
                  <c:v>2017.IV.</c:v>
                </c:pt>
                <c:pt idx="8">
                  <c:v>2018.I.R</c:v>
                </c:pt>
                <c:pt idx="9">
                  <c:v>2018.I.Ú</c:v>
                </c:pt>
                <c:pt idx="10">
                  <c:v>2018.II.</c:v>
                </c:pt>
                <c:pt idx="11">
                  <c:v>2018.III.</c:v>
                </c:pt>
                <c:pt idx="12">
                  <c:v>2018.IV.</c:v>
                </c:pt>
                <c:pt idx="13">
                  <c:v>2019.I.</c:v>
                </c:pt>
                <c:pt idx="14">
                  <c:v>2019.II.</c:v>
                </c:pt>
                <c:pt idx="15">
                  <c:v>2019.III.</c:v>
                </c:pt>
                <c:pt idx="16">
                  <c:v>2019.IV.</c:v>
                </c:pt>
                <c:pt idx="17">
                  <c:v>2020.I.</c:v>
                </c:pt>
                <c:pt idx="18">
                  <c:v>2020.II.</c:v>
                </c:pt>
                <c:pt idx="19">
                  <c:v>2020.III.</c:v>
                </c:pt>
                <c:pt idx="20">
                  <c:v>2020.IV.</c:v>
                </c:pt>
                <c:pt idx="21">
                  <c:v>2021.I.</c:v>
                </c:pt>
              </c:strCache>
            </c:strRef>
          </c:cat>
          <c:val>
            <c:numRef>
              <c:f>Idősorok_ábrák_Állományi!$E$310:$Z$310</c:f>
              <c:numCache>
                <c:formatCode>#,##0</c:formatCode>
                <c:ptCount val="22"/>
                <c:pt idx="0">
                  <c:v>121979</c:v>
                </c:pt>
                <c:pt idx="1">
                  <c:v>131732</c:v>
                </c:pt>
                <c:pt idx="2">
                  <c:v>140200</c:v>
                </c:pt>
                <c:pt idx="3">
                  <c:v>125460</c:v>
                </c:pt>
                <c:pt idx="4">
                  <c:v>128597</c:v>
                </c:pt>
                <c:pt idx="5">
                  <c:v>127870</c:v>
                </c:pt>
                <c:pt idx="6">
                  <c:v>131807</c:v>
                </c:pt>
                <c:pt idx="7">
                  <c:v>114667</c:v>
                </c:pt>
                <c:pt idx="8">
                  <c:v>105166</c:v>
                </c:pt>
                <c:pt idx="9">
                  <c:v>105166</c:v>
                </c:pt>
                <c:pt idx="10">
                  <c:v>104389</c:v>
                </c:pt>
                <c:pt idx="11">
                  <c:v>110918</c:v>
                </c:pt>
                <c:pt idx="12">
                  <c:v>109023</c:v>
                </c:pt>
                <c:pt idx="13">
                  <c:v>114952</c:v>
                </c:pt>
                <c:pt idx="14">
                  <c:v>126613</c:v>
                </c:pt>
                <c:pt idx="15">
                  <c:v>134153</c:v>
                </c:pt>
                <c:pt idx="16">
                  <c:v>126427</c:v>
                </c:pt>
                <c:pt idx="17">
                  <c:v>129000</c:v>
                </c:pt>
                <c:pt idx="18">
                  <c:v>121664</c:v>
                </c:pt>
                <c:pt idx="19">
                  <c:v>138966</c:v>
                </c:pt>
                <c:pt idx="20">
                  <c:v>146232</c:v>
                </c:pt>
                <c:pt idx="21">
                  <c:v>144523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C82D-4906-A05B-622D2CD4725B}"/>
            </c:ext>
          </c:extLst>
        </c:ser>
        <c:ser>
          <c:idx val="2"/>
          <c:order val="2"/>
          <c:tx>
            <c:strRef>
              <c:f>Idősorok_ábrák_Állományi!$D$315</c:f>
              <c:strCache>
                <c:ptCount val="1"/>
                <c:pt idx="0">
                  <c:v>Mg. forint folyószámla-, és egyéb éven belüli hitelei (milliárd Ft)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 b="1"/>
                </a:pPr>
                <a:endParaRPr lang="hu-H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Idősorok_ábrák_Állományi!$E$302:$Z$302</c:f>
              <c:strCache>
                <c:ptCount val="22"/>
                <c:pt idx="0">
                  <c:v>2016. I. </c:v>
                </c:pt>
                <c:pt idx="1">
                  <c:v>2016.II.</c:v>
                </c:pt>
                <c:pt idx="2">
                  <c:v>2016.III.</c:v>
                </c:pt>
                <c:pt idx="3">
                  <c:v>2016.IV.</c:v>
                </c:pt>
                <c:pt idx="4">
                  <c:v>2017.I.</c:v>
                </c:pt>
                <c:pt idx="5">
                  <c:v>2017.II.</c:v>
                </c:pt>
                <c:pt idx="6">
                  <c:v>2017.III.</c:v>
                </c:pt>
                <c:pt idx="7">
                  <c:v>2017.IV.</c:v>
                </c:pt>
                <c:pt idx="8">
                  <c:v>2018.I.R</c:v>
                </c:pt>
                <c:pt idx="9">
                  <c:v>2018.I.Ú</c:v>
                </c:pt>
                <c:pt idx="10">
                  <c:v>2018.II.</c:v>
                </c:pt>
                <c:pt idx="11">
                  <c:v>2018.III.</c:v>
                </c:pt>
                <c:pt idx="12">
                  <c:v>2018.IV.</c:v>
                </c:pt>
                <c:pt idx="13">
                  <c:v>2019.I.</c:v>
                </c:pt>
                <c:pt idx="14">
                  <c:v>2019.II.</c:v>
                </c:pt>
                <c:pt idx="15">
                  <c:v>2019.III.</c:v>
                </c:pt>
                <c:pt idx="16">
                  <c:v>2019.IV.</c:v>
                </c:pt>
                <c:pt idx="17">
                  <c:v>2020.I.</c:v>
                </c:pt>
                <c:pt idx="18">
                  <c:v>2020.II.</c:v>
                </c:pt>
                <c:pt idx="19">
                  <c:v>2020.III.</c:v>
                </c:pt>
                <c:pt idx="20">
                  <c:v>2020.IV.</c:v>
                </c:pt>
                <c:pt idx="21">
                  <c:v>2021.I.</c:v>
                </c:pt>
              </c:strCache>
            </c:strRef>
          </c:cat>
          <c:val>
            <c:numRef>
              <c:f>Idősorok_ábrák_Állományi!$E$315:$Z$315</c:f>
              <c:numCache>
                <c:formatCode>#,##0</c:formatCode>
                <c:ptCount val="22"/>
                <c:pt idx="0">
                  <c:v>94389.682143999991</c:v>
                </c:pt>
                <c:pt idx="1">
                  <c:v>97095.397956000001</c:v>
                </c:pt>
                <c:pt idx="2">
                  <c:v>111749.2168088</c:v>
                </c:pt>
                <c:pt idx="3">
                  <c:v>86393.238572439994</c:v>
                </c:pt>
                <c:pt idx="4">
                  <c:v>99440.814976180001</c:v>
                </c:pt>
                <c:pt idx="5">
                  <c:v>99566.586715320009</c:v>
                </c:pt>
                <c:pt idx="6">
                  <c:v>122843.42086325999</c:v>
                </c:pt>
                <c:pt idx="7">
                  <c:v>119440.98086859001</c:v>
                </c:pt>
                <c:pt idx="8">
                  <c:v>97182.161999999997</c:v>
                </c:pt>
                <c:pt idx="9">
                  <c:v>97194</c:v>
                </c:pt>
                <c:pt idx="10">
                  <c:v>103904</c:v>
                </c:pt>
                <c:pt idx="11">
                  <c:v>121774</c:v>
                </c:pt>
                <c:pt idx="12">
                  <c:v>134513</c:v>
                </c:pt>
                <c:pt idx="13">
                  <c:v>131754</c:v>
                </c:pt>
                <c:pt idx="14">
                  <c:v>134174</c:v>
                </c:pt>
                <c:pt idx="15">
                  <c:v>139575</c:v>
                </c:pt>
                <c:pt idx="16">
                  <c:v>147847</c:v>
                </c:pt>
                <c:pt idx="17">
                  <c:v>142868</c:v>
                </c:pt>
                <c:pt idx="18">
                  <c:v>165390</c:v>
                </c:pt>
                <c:pt idx="19">
                  <c:v>175417</c:v>
                </c:pt>
                <c:pt idx="20">
                  <c:v>158423</c:v>
                </c:pt>
                <c:pt idx="21">
                  <c:v>151648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C82D-4906-A05B-622D2CD4725B}"/>
            </c:ext>
          </c:extLst>
        </c:ser>
        <c:ser>
          <c:idx val="3"/>
          <c:order val="3"/>
          <c:tx>
            <c:strRef>
              <c:f>Idősorok_ábrák_Állományi!$D$320</c:f>
              <c:strCache>
                <c:ptCount val="1"/>
                <c:pt idx="0">
                  <c:v>Mg. egyéb hitelei (milliárd Ft)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 b="1"/>
                </a:pPr>
                <a:endParaRPr lang="hu-H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Idősorok_ábrák_Állományi!$E$302:$Z$302</c:f>
              <c:strCache>
                <c:ptCount val="22"/>
                <c:pt idx="0">
                  <c:v>2016. I. </c:v>
                </c:pt>
                <c:pt idx="1">
                  <c:v>2016.II.</c:v>
                </c:pt>
                <c:pt idx="2">
                  <c:v>2016.III.</c:v>
                </c:pt>
                <c:pt idx="3">
                  <c:v>2016.IV.</c:v>
                </c:pt>
                <c:pt idx="4">
                  <c:v>2017.I.</c:v>
                </c:pt>
                <c:pt idx="5">
                  <c:v>2017.II.</c:v>
                </c:pt>
                <c:pt idx="6">
                  <c:v>2017.III.</c:v>
                </c:pt>
                <c:pt idx="7">
                  <c:v>2017.IV.</c:v>
                </c:pt>
                <c:pt idx="8">
                  <c:v>2018.I.R</c:v>
                </c:pt>
                <c:pt idx="9">
                  <c:v>2018.I.Ú</c:v>
                </c:pt>
                <c:pt idx="10">
                  <c:v>2018.II.</c:v>
                </c:pt>
                <c:pt idx="11">
                  <c:v>2018.III.</c:v>
                </c:pt>
                <c:pt idx="12">
                  <c:v>2018.IV.</c:v>
                </c:pt>
                <c:pt idx="13">
                  <c:v>2019.I.</c:v>
                </c:pt>
                <c:pt idx="14">
                  <c:v>2019.II.</c:v>
                </c:pt>
                <c:pt idx="15">
                  <c:v>2019.III.</c:v>
                </c:pt>
                <c:pt idx="16">
                  <c:v>2019.IV.</c:v>
                </c:pt>
                <c:pt idx="17">
                  <c:v>2020.I.</c:v>
                </c:pt>
                <c:pt idx="18">
                  <c:v>2020.II.</c:v>
                </c:pt>
                <c:pt idx="19">
                  <c:v>2020.III.</c:v>
                </c:pt>
                <c:pt idx="20">
                  <c:v>2020.IV.</c:v>
                </c:pt>
                <c:pt idx="21">
                  <c:v>2021.I.</c:v>
                </c:pt>
              </c:strCache>
            </c:strRef>
          </c:cat>
          <c:val>
            <c:numRef>
              <c:f>Idősorok_ábrák_Állományi!$E$320:$Z$320</c:f>
              <c:numCache>
                <c:formatCode>#,##0</c:formatCode>
                <c:ptCount val="22"/>
                <c:pt idx="0">
                  <c:v>41648.096647259998</c:v>
                </c:pt>
                <c:pt idx="1">
                  <c:v>45143.081831000003</c:v>
                </c:pt>
                <c:pt idx="2">
                  <c:v>51509.329144000003</c:v>
                </c:pt>
                <c:pt idx="3">
                  <c:v>58994.108231000006</c:v>
                </c:pt>
                <c:pt idx="4">
                  <c:v>57986.622282209995</c:v>
                </c:pt>
                <c:pt idx="5">
                  <c:v>64979.578405940003</c:v>
                </c:pt>
                <c:pt idx="6">
                  <c:v>53262.333029000001</c:v>
                </c:pt>
                <c:pt idx="7">
                  <c:v>52389.253880000004</c:v>
                </c:pt>
                <c:pt idx="8">
                  <c:v>67640</c:v>
                </c:pt>
                <c:pt idx="9">
                  <c:v>67640</c:v>
                </c:pt>
                <c:pt idx="10">
                  <c:v>77080</c:v>
                </c:pt>
                <c:pt idx="11">
                  <c:v>73328</c:v>
                </c:pt>
                <c:pt idx="12">
                  <c:v>75005</c:v>
                </c:pt>
                <c:pt idx="13">
                  <c:v>67356</c:v>
                </c:pt>
                <c:pt idx="14">
                  <c:v>68042</c:v>
                </c:pt>
                <c:pt idx="15">
                  <c:v>57634</c:v>
                </c:pt>
                <c:pt idx="16">
                  <c:v>48164</c:v>
                </c:pt>
                <c:pt idx="17">
                  <c:v>98587</c:v>
                </c:pt>
                <c:pt idx="18">
                  <c:v>51141</c:v>
                </c:pt>
                <c:pt idx="19">
                  <c:v>54357</c:v>
                </c:pt>
                <c:pt idx="20">
                  <c:v>50916</c:v>
                </c:pt>
                <c:pt idx="21">
                  <c:v>97179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C82D-4906-A05B-622D2CD4725B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100"/>
        <c:axId val="570975944"/>
        <c:axId val="570982216"/>
      </c:barChart>
      <c:catAx>
        <c:axId val="570975944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ysClr val="windowText" lastClr="000000"/>
                </a:solidFill>
                <a:latin typeface="Times New Roman" panose="02020603050405020304" pitchFamily="18" charset="0"/>
                <a:cs typeface="Times New Roman" panose="02020603050405020304" pitchFamily="18" charset="0"/>
              </a:defRPr>
            </a:pPr>
            <a:endParaRPr lang="hu-HU"/>
          </a:p>
        </c:txPr>
        <c:crossAx val="570982216"/>
        <c:crosses val="autoZero"/>
        <c:auto val="1"/>
        <c:lblAlgn val="ctr"/>
        <c:lblOffset val="100"/>
        <c:noMultiLvlLbl val="0"/>
      </c:catAx>
      <c:valAx>
        <c:axId val="570982216"/>
        <c:scaling>
          <c:orientation val="minMax"/>
        </c:scaling>
        <c:delete val="0"/>
        <c:axPos val="l"/>
        <c:majorGridlines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ysClr val="windowText" lastClr="000000"/>
                </a:solidFill>
                <a:latin typeface="Times New Roman" panose="02020603050405020304" pitchFamily="18" charset="0"/>
                <a:cs typeface="Times New Roman" panose="02020603050405020304" pitchFamily="18" charset="0"/>
              </a:defRPr>
            </a:pPr>
            <a:endParaRPr lang="hu-HU"/>
          </a:p>
        </c:txPr>
        <c:crossAx val="570975944"/>
        <c:crosses val="autoZero"/>
        <c:crossBetween val="between"/>
        <c:dispUnits>
          <c:builtInUnit val="thousands"/>
        </c:dispUnits>
      </c:valAx>
    </c:plotArea>
    <c:legend>
      <c:legendPos val="b"/>
      <c:layout>
        <c:manualLayout>
          <c:xMode val="edge"/>
          <c:yMode val="edge"/>
          <c:x val="2.9978294067456311E-3"/>
          <c:y val="0.89723080784704823"/>
          <c:w val="0.98918290973388168"/>
          <c:h val="8.6723350742299157E-2"/>
        </c:manualLayout>
      </c:layout>
      <c:overlay val="0"/>
      <c:txPr>
        <a:bodyPr/>
        <a:lstStyle/>
        <a:p>
          <a:pPr>
            <a:defRPr>
              <a:solidFill>
                <a:sysClr val="windowText" lastClr="000000"/>
              </a:solidFill>
              <a:latin typeface="Times New Roman" panose="02020603050405020304" pitchFamily="18" charset="0"/>
              <a:cs typeface="Times New Roman" panose="02020603050405020304" pitchFamily="18" charset="0"/>
            </a:defRPr>
          </a:pPr>
          <a:endParaRPr lang="hu-HU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4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hu-H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Idősorok_ábrák_Állományi!$J$180</c:f>
              <c:strCache>
                <c:ptCount val="1"/>
                <c:pt idx="0">
                  <c:v>Egyéni gazdaságok (milliárd Ft)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vert="horz" anchor="t" anchorCtr="0"/>
              <a:lstStyle/>
              <a:p>
                <a:pPr>
                  <a:defRPr sz="800" b="1"/>
                </a:pPr>
                <a:endParaRPr lang="hu-H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Idősorok_ábrák_Állományi!$K$179:$AF$179</c:f>
              <c:strCache>
                <c:ptCount val="22"/>
                <c:pt idx="0">
                  <c:v>2016. I. </c:v>
                </c:pt>
                <c:pt idx="1">
                  <c:v>2016.II.</c:v>
                </c:pt>
                <c:pt idx="2">
                  <c:v>2016.III.</c:v>
                </c:pt>
                <c:pt idx="3">
                  <c:v>2016.IV.</c:v>
                </c:pt>
                <c:pt idx="4">
                  <c:v>2017.I.</c:v>
                </c:pt>
                <c:pt idx="5">
                  <c:v>2017.II.</c:v>
                </c:pt>
                <c:pt idx="6">
                  <c:v>2017.III.</c:v>
                </c:pt>
                <c:pt idx="7">
                  <c:v>2017.IV.</c:v>
                </c:pt>
                <c:pt idx="8">
                  <c:v>2018.I.R</c:v>
                </c:pt>
                <c:pt idx="9">
                  <c:v>2018.I.Ú</c:v>
                </c:pt>
                <c:pt idx="10">
                  <c:v>2018.II.</c:v>
                </c:pt>
                <c:pt idx="11">
                  <c:v>2018.III.</c:v>
                </c:pt>
                <c:pt idx="12">
                  <c:v>2018.IV.</c:v>
                </c:pt>
                <c:pt idx="13">
                  <c:v>2019.I.</c:v>
                </c:pt>
                <c:pt idx="14">
                  <c:v>2019.II.</c:v>
                </c:pt>
                <c:pt idx="15">
                  <c:v>2019.III.</c:v>
                </c:pt>
                <c:pt idx="16">
                  <c:v>2019.IV.</c:v>
                </c:pt>
                <c:pt idx="17">
                  <c:v>2020.I.</c:v>
                </c:pt>
                <c:pt idx="18">
                  <c:v>2020.II.</c:v>
                </c:pt>
                <c:pt idx="19">
                  <c:v>2020.III.</c:v>
                </c:pt>
                <c:pt idx="20">
                  <c:v>2020.IV.</c:v>
                </c:pt>
                <c:pt idx="21">
                  <c:v>2021. I.</c:v>
                </c:pt>
              </c:strCache>
            </c:strRef>
          </c:cat>
          <c:val>
            <c:numRef>
              <c:f>Idősorok_ábrák_Állományi!$K$180:$AF$180</c:f>
              <c:numCache>
                <c:formatCode>#\ ##0.0</c:formatCode>
                <c:ptCount val="22"/>
                <c:pt idx="0">
                  <c:v>2.7850000000000001</c:v>
                </c:pt>
                <c:pt idx="1">
                  <c:v>2.9780000000000002</c:v>
                </c:pt>
                <c:pt idx="2">
                  <c:v>3.1360000000000001</c:v>
                </c:pt>
                <c:pt idx="3">
                  <c:v>3.6110000000000002</c:v>
                </c:pt>
                <c:pt idx="4">
                  <c:v>3.956</c:v>
                </c:pt>
                <c:pt idx="5">
                  <c:v>4.8659999999999997</c:v>
                </c:pt>
                <c:pt idx="6">
                  <c:v>6.492</c:v>
                </c:pt>
                <c:pt idx="7">
                  <c:v>4.1269999999999998</c:v>
                </c:pt>
                <c:pt idx="8">
                  <c:v>8.2780000000000005</c:v>
                </c:pt>
                <c:pt idx="9">
                  <c:v>8.5220000000000002</c:v>
                </c:pt>
                <c:pt idx="10">
                  <c:v>4.0369999999999999</c:v>
                </c:pt>
                <c:pt idx="11">
                  <c:v>4.0789999999999997</c:v>
                </c:pt>
                <c:pt idx="12">
                  <c:v>7.4290000000000003</c:v>
                </c:pt>
                <c:pt idx="13">
                  <c:v>4.9889999999999999</c:v>
                </c:pt>
                <c:pt idx="14">
                  <c:v>4.726</c:v>
                </c:pt>
                <c:pt idx="15">
                  <c:v>5.0359999999999996</c:v>
                </c:pt>
                <c:pt idx="16">
                  <c:v>5.6319999999999997</c:v>
                </c:pt>
                <c:pt idx="17">
                  <c:v>5.5838000000000001</c:v>
                </c:pt>
                <c:pt idx="18">
                  <c:v>5.4050000000000002</c:v>
                </c:pt>
                <c:pt idx="19">
                  <c:v>6.0309999999999997</c:v>
                </c:pt>
                <c:pt idx="20">
                  <c:v>6.1470000000000002</c:v>
                </c:pt>
                <c:pt idx="21">
                  <c:v>6.0640000000000001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BAC1-4723-8DE1-B97385790B30}"/>
            </c:ext>
          </c:extLst>
        </c:ser>
        <c:ser>
          <c:idx val="1"/>
          <c:order val="1"/>
          <c:tx>
            <c:strRef>
              <c:f>Idősorok_ábrák_Állományi!$J$181</c:f>
              <c:strCache>
                <c:ptCount val="1"/>
                <c:pt idx="0">
                  <c:v>Gazdasági szervezetek (milliárdFt)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/>
                </a:pPr>
                <a:endParaRPr lang="hu-H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Idősorok_ábrák_Állományi!$K$179:$AF$179</c:f>
              <c:strCache>
                <c:ptCount val="22"/>
                <c:pt idx="0">
                  <c:v>2016. I. </c:v>
                </c:pt>
                <c:pt idx="1">
                  <c:v>2016.II.</c:v>
                </c:pt>
                <c:pt idx="2">
                  <c:v>2016.III.</c:v>
                </c:pt>
                <c:pt idx="3">
                  <c:v>2016.IV.</c:v>
                </c:pt>
                <c:pt idx="4">
                  <c:v>2017.I.</c:v>
                </c:pt>
                <c:pt idx="5">
                  <c:v>2017.II.</c:v>
                </c:pt>
                <c:pt idx="6">
                  <c:v>2017.III.</c:v>
                </c:pt>
                <c:pt idx="7">
                  <c:v>2017.IV.</c:v>
                </c:pt>
                <c:pt idx="8">
                  <c:v>2018.I.R</c:v>
                </c:pt>
                <c:pt idx="9">
                  <c:v>2018.I.Ú</c:v>
                </c:pt>
                <c:pt idx="10">
                  <c:v>2018.II.</c:v>
                </c:pt>
                <c:pt idx="11">
                  <c:v>2018.III.</c:v>
                </c:pt>
                <c:pt idx="12">
                  <c:v>2018.IV.</c:v>
                </c:pt>
                <c:pt idx="13">
                  <c:v>2019.I.</c:v>
                </c:pt>
                <c:pt idx="14">
                  <c:v>2019.II.</c:v>
                </c:pt>
                <c:pt idx="15">
                  <c:v>2019.III.</c:v>
                </c:pt>
                <c:pt idx="16">
                  <c:v>2019.IV.</c:v>
                </c:pt>
                <c:pt idx="17">
                  <c:v>2020.I.</c:v>
                </c:pt>
                <c:pt idx="18">
                  <c:v>2020.II.</c:v>
                </c:pt>
                <c:pt idx="19">
                  <c:v>2020.III.</c:v>
                </c:pt>
                <c:pt idx="20">
                  <c:v>2020.IV.</c:v>
                </c:pt>
                <c:pt idx="21">
                  <c:v>2021. I.</c:v>
                </c:pt>
              </c:strCache>
            </c:strRef>
          </c:cat>
          <c:val>
            <c:numRef>
              <c:f>Idősorok_ábrák_Állományi!$K$181:$AF$181</c:f>
              <c:numCache>
                <c:formatCode>#\ ##0.0</c:formatCode>
                <c:ptCount val="22"/>
                <c:pt idx="0">
                  <c:v>381.036</c:v>
                </c:pt>
                <c:pt idx="1">
                  <c:v>386.89600000000002</c:v>
                </c:pt>
                <c:pt idx="2">
                  <c:v>412.786</c:v>
                </c:pt>
                <c:pt idx="3">
                  <c:v>418.65300000000002</c:v>
                </c:pt>
                <c:pt idx="4">
                  <c:v>388.79399999999998</c:v>
                </c:pt>
                <c:pt idx="5">
                  <c:v>378.63900000000001</c:v>
                </c:pt>
                <c:pt idx="6">
                  <c:v>422.02100000000002</c:v>
                </c:pt>
                <c:pt idx="7">
                  <c:v>455.839</c:v>
                </c:pt>
                <c:pt idx="8">
                  <c:v>442.11399999999998</c:v>
                </c:pt>
                <c:pt idx="9">
                  <c:v>444.90100000000001</c:v>
                </c:pt>
                <c:pt idx="10">
                  <c:v>461.14699999999999</c:v>
                </c:pt>
                <c:pt idx="11">
                  <c:v>491.89299999999997</c:v>
                </c:pt>
                <c:pt idx="12">
                  <c:v>497.714</c:v>
                </c:pt>
                <c:pt idx="13">
                  <c:v>515.46</c:v>
                </c:pt>
                <c:pt idx="14">
                  <c:v>506.084</c:v>
                </c:pt>
                <c:pt idx="15">
                  <c:v>541.42999999999995</c:v>
                </c:pt>
                <c:pt idx="16">
                  <c:v>539.25599999999997</c:v>
                </c:pt>
                <c:pt idx="17">
                  <c:v>553.56083999999998</c:v>
                </c:pt>
                <c:pt idx="18">
                  <c:v>525.01400000000001</c:v>
                </c:pt>
                <c:pt idx="19">
                  <c:v>587.21299999999997</c:v>
                </c:pt>
                <c:pt idx="20">
                  <c:v>610.32000000000005</c:v>
                </c:pt>
                <c:pt idx="21">
                  <c:v>614.66499999999996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BAC1-4723-8DE1-B97385790B30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100"/>
        <c:axId val="570978296"/>
        <c:axId val="570979472"/>
      </c:barChart>
      <c:catAx>
        <c:axId val="57097829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570979472"/>
        <c:crosses val="autoZero"/>
        <c:auto val="1"/>
        <c:lblAlgn val="ctr"/>
        <c:lblOffset val="100"/>
        <c:noMultiLvlLbl val="0"/>
      </c:catAx>
      <c:valAx>
        <c:axId val="570979472"/>
        <c:scaling>
          <c:orientation val="minMax"/>
        </c:scaling>
        <c:delete val="0"/>
        <c:axPos val="l"/>
        <c:majorGridlines/>
        <c:numFmt formatCode="#\ ##0.0" sourceLinked="1"/>
        <c:majorTickMark val="out"/>
        <c:minorTickMark val="none"/>
        <c:tickLblPos val="nextTo"/>
        <c:crossAx val="570978296"/>
        <c:crosses val="autoZero"/>
        <c:crossBetween val="between"/>
      </c:valAx>
    </c:plotArea>
    <c:legend>
      <c:legendPos val="b"/>
      <c:overlay val="0"/>
    </c:legend>
    <c:plotVisOnly val="1"/>
    <c:dispBlanksAs val="gap"/>
    <c:showDLblsOverMax val="0"/>
  </c:chart>
  <c:spPr>
    <a:ln>
      <a:noFill/>
    </a:ln>
  </c:spPr>
  <c:txPr>
    <a:bodyPr/>
    <a:lstStyle/>
    <a:p>
      <a:pPr>
        <a:defRPr>
          <a:latin typeface="Times New Roman" panose="02020603050405020304" pitchFamily="18" charset="0"/>
          <a:cs typeface="Times New Roman" panose="02020603050405020304" pitchFamily="18" charset="0"/>
        </a:defRPr>
      </a:pPr>
      <a:endParaRPr lang="hu-HU"/>
    </a:p>
  </c:txPr>
  <c:printSettings>
    <c:headerFooter/>
    <c:pageMargins b="0.75" l="0.7" r="0.7" t="0.75" header="0.3" footer="0.3"/>
    <c:pageSetup/>
  </c:printSettings>
</c:chartSpace>
</file>

<file path=xl/charts/chart4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hu-H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2.3426270625738481E-2"/>
          <c:y val="1.0787022595017006E-2"/>
          <c:w val="0.9759102199674744"/>
          <c:h val="0.87366159222903361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Idősorok_ábrák_Állományi!$E$353</c:f>
              <c:strCache>
                <c:ptCount val="1"/>
                <c:pt idx="0">
                  <c:v>Élip beruházási hitelei (milliárd Ft)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 sz="800" b="1">
                    <a:latin typeface="Times New Roman" panose="02020603050405020304" pitchFamily="18" charset="0"/>
                    <a:cs typeface="Times New Roman" panose="02020603050405020304" pitchFamily="18" charset="0"/>
                  </a:defRPr>
                </a:pPr>
                <a:endParaRPr lang="hu-H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Idősorok_ábrák_Állományi!$J$352:$AA$352</c:f>
              <c:strCache>
                <c:ptCount val="18"/>
                <c:pt idx="0">
                  <c:v>2017.I.</c:v>
                </c:pt>
                <c:pt idx="1">
                  <c:v>2017.II.</c:v>
                </c:pt>
                <c:pt idx="2">
                  <c:v>2017.III.</c:v>
                </c:pt>
                <c:pt idx="3">
                  <c:v>2017.IV.</c:v>
                </c:pt>
                <c:pt idx="4">
                  <c:v>2018.I.R</c:v>
                </c:pt>
                <c:pt idx="5">
                  <c:v>2018.I.Ú</c:v>
                </c:pt>
                <c:pt idx="6">
                  <c:v>2018.II.</c:v>
                </c:pt>
                <c:pt idx="7">
                  <c:v>2018.III.</c:v>
                </c:pt>
                <c:pt idx="8">
                  <c:v>2018.IV.</c:v>
                </c:pt>
                <c:pt idx="9">
                  <c:v>2019.I.</c:v>
                </c:pt>
                <c:pt idx="10">
                  <c:v>2019.II.</c:v>
                </c:pt>
                <c:pt idx="11">
                  <c:v>2019.III.</c:v>
                </c:pt>
                <c:pt idx="12">
                  <c:v>2019.IV.</c:v>
                </c:pt>
                <c:pt idx="13">
                  <c:v>2020.I.</c:v>
                </c:pt>
                <c:pt idx="14">
                  <c:v>2020.II.</c:v>
                </c:pt>
                <c:pt idx="15">
                  <c:v>2020.III.</c:v>
                </c:pt>
                <c:pt idx="16">
                  <c:v>2020.IV.</c:v>
                </c:pt>
                <c:pt idx="17">
                  <c:v>2021.I.</c:v>
                </c:pt>
              </c:strCache>
            </c:strRef>
          </c:cat>
          <c:val>
            <c:numRef>
              <c:f>Idősorok_ábrák_Állományi!$J$353:$AA$353</c:f>
              <c:numCache>
                <c:formatCode>#,##0</c:formatCode>
                <c:ptCount val="18"/>
                <c:pt idx="0">
                  <c:v>136417</c:v>
                </c:pt>
                <c:pt idx="1">
                  <c:v>143792</c:v>
                </c:pt>
                <c:pt idx="2">
                  <c:v>160194</c:v>
                </c:pt>
                <c:pt idx="3">
                  <c:v>171755</c:v>
                </c:pt>
                <c:pt idx="4">
                  <c:v>158617</c:v>
                </c:pt>
                <c:pt idx="5">
                  <c:v>161648</c:v>
                </c:pt>
                <c:pt idx="6">
                  <c:v>172740</c:v>
                </c:pt>
                <c:pt idx="7">
                  <c:v>186710</c:v>
                </c:pt>
                <c:pt idx="8">
                  <c:v>181505</c:v>
                </c:pt>
                <c:pt idx="9">
                  <c:v>203140</c:v>
                </c:pt>
                <c:pt idx="10">
                  <c:v>206958</c:v>
                </c:pt>
                <c:pt idx="11">
                  <c:v>211417</c:v>
                </c:pt>
                <c:pt idx="12">
                  <c:v>187758</c:v>
                </c:pt>
                <c:pt idx="13">
                  <c:v>191274</c:v>
                </c:pt>
                <c:pt idx="14">
                  <c:v>189017</c:v>
                </c:pt>
                <c:pt idx="15">
                  <c:v>198874</c:v>
                </c:pt>
                <c:pt idx="16">
                  <c:v>203193</c:v>
                </c:pt>
                <c:pt idx="17">
                  <c:v>193567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B719-4051-823A-D671A7184939}"/>
            </c:ext>
          </c:extLst>
        </c:ser>
        <c:ser>
          <c:idx val="1"/>
          <c:order val="1"/>
          <c:tx>
            <c:strRef>
              <c:f>Idősorok_ábrák_Állományi!$E$354</c:f>
              <c:strCache>
                <c:ptCount val="1"/>
                <c:pt idx="0">
                  <c:v>Élip hosszú lejáratú forgóeszköz hitelei (milliárd Ft)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 sz="800" b="1">
                    <a:latin typeface="Times New Roman" panose="02020603050405020304" pitchFamily="18" charset="0"/>
                    <a:cs typeface="Times New Roman" panose="02020603050405020304" pitchFamily="18" charset="0"/>
                  </a:defRPr>
                </a:pPr>
                <a:endParaRPr lang="hu-H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Idősorok_ábrák_Állományi!$J$352:$AA$352</c:f>
              <c:strCache>
                <c:ptCount val="18"/>
                <c:pt idx="0">
                  <c:v>2017.I.</c:v>
                </c:pt>
                <c:pt idx="1">
                  <c:v>2017.II.</c:v>
                </c:pt>
                <c:pt idx="2">
                  <c:v>2017.III.</c:v>
                </c:pt>
                <c:pt idx="3">
                  <c:v>2017.IV.</c:v>
                </c:pt>
                <c:pt idx="4">
                  <c:v>2018.I.R</c:v>
                </c:pt>
                <c:pt idx="5">
                  <c:v>2018.I.Ú</c:v>
                </c:pt>
                <c:pt idx="6">
                  <c:v>2018.II.</c:v>
                </c:pt>
                <c:pt idx="7">
                  <c:v>2018.III.</c:v>
                </c:pt>
                <c:pt idx="8">
                  <c:v>2018.IV.</c:v>
                </c:pt>
                <c:pt idx="9">
                  <c:v>2019.I.</c:v>
                </c:pt>
                <c:pt idx="10">
                  <c:v>2019.II.</c:v>
                </c:pt>
                <c:pt idx="11">
                  <c:v>2019.III.</c:v>
                </c:pt>
                <c:pt idx="12">
                  <c:v>2019.IV.</c:v>
                </c:pt>
                <c:pt idx="13">
                  <c:v>2020.I.</c:v>
                </c:pt>
                <c:pt idx="14">
                  <c:v>2020.II.</c:v>
                </c:pt>
                <c:pt idx="15">
                  <c:v>2020.III.</c:v>
                </c:pt>
                <c:pt idx="16">
                  <c:v>2020.IV.</c:v>
                </c:pt>
                <c:pt idx="17">
                  <c:v>2021.I.</c:v>
                </c:pt>
              </c:strCache>
            </c:strRef>
          </c:cat>
          <c:val>
            <c:numRef>
              <c:f>Idősorok_ábrák_Állományi!$J$354:$AA$354</c:f>
              <c:numCache>
                <c:formatCode>#,##0</c:formatCode>
                <c:ptCount val="18"/>
                <c:pt idx="0">
                  <c:v>80838</c:v>
                </c:pt>
                <c:pt idx="1">
                  <c:v>76409</c:v>
                </c:pt>
                <c:pt idx="2">
                  <c:v>75669</c:v>
                </c:pt>
                <c:pt idx="3">
                  <c:v>72860</c:v>
                </c:pt>
                <c:pt idx="4">
                  <c:v>75357</c:v>
                </c:pt>
                <c:pt idx="5">
                  <c:v>75357</c:v>
                </c:pt>
                <c:pt idx="6">
                  <c:v>91286</c:v>
                </c:pt>
                <c:pt idx="7">
                  <c:v>91955</c:v>
                </c:pt>
                <c:pt idx="8">
                  <c:v>91882</c:v>
                </c:pt>
                <c:pt idx="9">
                  <c:v>90536</c:v>
                </c:pt>
                <c:pt idx="10">
                  <c:v>89666</c:v>
                </c:pt>
                <c:pt idx="11">
                  <c:v>100714</c:v>
                </c:pt>
                <c:pt idx="12">
                  <c:v>110818</c:v>
                </c:pt>
                <c:pt idx="13">
                  <c:v>122977</c:v>
                </c:pt>
                <c:pt idx="14">
                  <c:v>117363</c:v>
                </c:pt>
                <c:pt idx="15">
                  <c:v>159984</c:v>
                </c:pt>
                <c:pt idx="16">
                  <c:v>175128</c:v>
                </c:pt>
                <c:pt idx="17">
                  <c:v>178358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B719-4051-823A-D671A7184939}"/>
            </c:ext>
          </c:extLst>
        </c:ser>
        <c:ser>
          <c:idx val="2"/>
          <c:order val="2"/>
          <c:tx>
            <c:strRef>
              <c:f>Idősorok_ábrák_Állományi!$E$355</c:f>
              <c:strCache>
                <c:ptCount val="1"/>
                <c:pt idx="0">
                  <c:v>Élip forint folyószámla-, és egyéb éven belüli hitelei (milliárd Ft)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 sz="800" b="1">
                    <a:latin typeface="Times New Roman" panose="02020603050405020304" pitchFamily="18" charset="0"/>
                    <a:cs typeface="Times New Roman" panose="02020603050405020304" pitchFamily="18" charset="0"/>
                  </a:defRPr>
                </a:pPr>
                <a:endParaRPr lang="hu-H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Idősorok_ábrák_Állományi!$J$352:$AA$352</c:f>
              <c:strCache>
                <c:ptCount val="18"/>
                <c:pt idx="0">
                  <c:v>2017.I.</c:v>
                </c:pt>
                <c:pt idx="1">
                  <c:v>2017.II.</c:v>
                </c:pt>
                <c:pt idx="2">
                  <c:v>2017.III.</c:v>
                </c:pt>
                <c:pt idx="3">
                  <c:v>2017.IV.</c:v>
                </c:pt>
                <c:pt idx="4">
                  <c:v>2018.I.R</c:v>
                </c:pt>
                <c:pt idx="5">
                  <c:v>2018.I.Ú</c:v>
                </c:pt>
                <c:pt idx="6">
                  <c:v>2018.II.</c:v>
                </c:pt>
                <c:pt idx="7">
                  <c:v>2018.III.</c:v>
                </c:pt>
                <c:pt idx="8">
                  <c:v>2018.IV.</c:v>
                </c:pt>
                <c:pt idx="9">
                  <c:v>2019.I.</c:v>
                </c:pt>
                <c:pt idx="10">
                  <c:v>2019.II.</c:v>
                </c:pt>
                <c:pt idx="11">
                  <c:v>2019.III.</c:v>
                </c:pt>
                <c:pt idx="12">
                  <c:v>2019.IV.</c:v>
                </c:pt>
                <c:pt idx="13">
                  <c:v>2020.I.</c:v>
                </c:pt>
                <c:pt idx="14">
                  <c:v>2020.II.</c:v>
                </c:pt>
                <c:pt idx="15">
                  <c:v>2020.III.</c:v>
                </c:pt>
                <c:pt idx="16">
                  <c:v>2020.IV.</c:v>
                </c:pt>
                <c:pt idx="17">
                  <c:v>2021.I.</c:v>
                </c:pt>
              </c:strCache>
            </c:strRef>
          </c:cat>
          <c:val>
            <c:numRef>
              <c:f>Idősorok_ábrák_Állományi!$J$355:$AA$355</c:f>
              <c:numCache>
                <c:formatCode>#,##0</c:formatCode>
                <c:ptCount val="18"/>
                <c:pt idx="0">
                  <c:v>120610.24163372999</c:v>
                </c:pt>
                <c:pt idx="1">
                  <c:v>110234.38432738421</c:v>
                </c:pt>
                <c:pt idx="2">
                  <c:v>144658.40804518489</c:v>
                </c:pt>
                <c:pt idx="3">
                  <c:v>163790.01399039</c:v>
                </c:pt>
                <c:pt idx="4">
                  <c:v>147496.41200000001</c:v>
                </c:pt>
                <c:pt idx="5">
                  <c:v>147496</c:v>
                </c:pt>
                <c:pt idx="6">
                  <c:v>124739</c:v>
                </c:pt>
                <c:pt idx="7">
                  <c:v>154319</c:v>
                </c:pt>
                <c:pt idx="8">
                  <c:v>176599</c:v>
                </c:pt>
                <c:pt idx="9">
                  <c:v>164102</c:v>
                </c:pt>
                <c:pt idx="10">
                  <c:v>152320</c:v>
                </c:pt>
                <c:pt idx="11">
                  <c:v>166105</c:v>
                </c:pt>
                <c:pt idx="12">
                  <c:v>171053</c:v>
                </c:pt>
                <c:pt idx="13">
                  <c:v>174049</c:v>
                </c:pt>
                <c:pt idx="14">
                  <c:v>148143</c:v>
                </c:pt>
                <c:pt idx="15">
                  <c:v>159040</c:v>
                </c:pt>
                <c:pt idx="16">
                  <c:v>153572</c:v>
                </c:pt>
                <c:pt idx="17">
                  <c:v>152637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B719-4051-823A-D671A7184939}"/>
            </c:ext>
          </c:extLst>
        </c:ser>
        <c:ser>
          <c:idx val="3"/>
          <c:order val="3"/>
          <c:tx>
            <c:strRef>
              <c:f>Idősorok_ábrák_Állományi!$E$356</c:f>
              <c:strCache>
                <c:ptCount val="1"/>
                <c:pt idx="0">
                  <c:v>Élip egyéb hitelei (milliárd Ft)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 sz="800" b="1">
                    <a:latin typeface="Times New Roman" panose="02020603050405020304" pitchFamily="18" charset="0"/>
                    <a:cs typeface="Times New Roman" panose="02020603050405020304" pitchFamily="18" charset="0"/>
                  </a:defRPr>
                </a:pPr>
                <a:endParaRPr lang="hu-H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Idősorok_ábrák_Állományi!$J$352:$AA$352</c:f>
              <c:strCache>
                <c:ptCount val="18"/>
                <c:pt idx="0">
                  <c:v>2017.I.</c:v>
                </c:pt>
                <c:pt idx="1">
                  <c:v>2017.II.</c:v>
                </c:pt>
                <c:pt idx="2">
                  <c:v>2017.III.</c:v>
                </c:pt>
                <c:pt idx="3">
                  <c:v>2017.IV.</c:v>
                </c:pt>
                <c:pt idx="4">
                  <c:v>2018.I.R</c:v>
                </c:pt>
                <c:pt idx="5">
                  <c:v>2018.I.Ú</c:v>
                </c:pt>
                <c:pt idx="6">
                  <c:v>2018.II.</c:v>
                </c:pt>
                <c:pt idx="7">
                  <c:v>2018.III.</c:v>
                </c:pt>
                <c:pt idx="8">
                  <c:v>2018.IV.</c:v>
                </c:pt>
                <c:pt idx="9">
                  <c:v>2019.I.</c:v>
                </c:pt>
                <c:pt idx="10">
                  <c:v>2019.II.</c:v>
                </c:pt>
                <c:pt idx="11">
                  <c:v>2019.III.</c:v>
                </c:pt>
                <c:pt idx="12">
                  <c:v>2019.IV.</c:v>
                </c:pt>
                <c:pt idx="13">
                  <c:v>2020.I.</c:v>
                </c:pt>
                <c:pt idx="14">
                  <c:v>2020.II.</c:v>
                </c:pt>
                <c:pt idx="15">
                  <c:v>2020.III.</c:v>
                </c:pt>
                <c:pt idx="16">
                  <c:v>2020.IV.</c:v>
                </c:pt>
                <c:pt idx="17">
                  <c:v>2021.I.</c:v>
                </c:pt>
              </c:strCache>
            </c:strRef>
          </c:cat>
          <c:val>
            <c:numRef>
              <c:f>Idősorok_ábrák_Állományi!$J$356:$AA$356</c:f>
              <c:numCache>
                <c:formatCode>#,##0</c:formatCode>
                <c:ptCount val="18"/>
                <c:pt idx="0">
                  <c:v>54884.513254999998</c:v>
                </c:pt>
                <c:pt idx="1">
                  <c:v>53069.645419</c:v>
                </c:pt>
                <c:pt idx="2">
                  <c:v>47991.457057480002</c:v>
                </c:pt>
                <c:pt idx="3">
                  <c:v>51559.774197669998</c:v>
                </c:pt>
                <c:pt idx="4">
                  <c:v>68921</c:v>
                </c:pt>
                <c:pt idx="5">
                  <c:v>68921</c:v>
                </c:pt>
                <c:pt idx="6">
                  <c:v>76420</c:v>
                </c:pt>
                <c:pt idx="7">
                  <c:v>62987</c:v>
                </c:pt>
                <c:pt idx="8">
                  <c:v>55156</c:v>
                </c:pt>
                <c:pt idx="9">
                  <c:v>62672</c:v>
                </c:pt>
                <c:pt idx="10">
                  <c:v>61864</c:v>
                </c:pt>
                <c:pt idx="11">
                  <c:v>68228</c:v>
                </c:pt>
                <c:pt idx="12">
                  <c:v>75258</c:v>
                </c:pt>
                <c:pt idx="13">
                  <c:v>76953</c:v>
                </c:pt>
                <c:pt idx="14">
                  <c:v>75895</c:v>
                </c:pt>
                <c:pt idx="15">
                  <c:v>75344</c:v>
                </c:pt>
                <c:pt idx="16">
                  <c:v>84577</c:v>
                </c:pt>
                <c:pt idx="17">
                  <c:v>96166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B719-4051-823A-D671A7184939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100"/>
        <c:axId val="570980648"/>
        <c:axId val="570984176"/>
      </c:barChart>
      <c:catAx>
        <c:axId val="570980648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800">
                <a:latin typeface="Times New Roman" panose="02020603050405020304" pitchFamily="18" charset="0"/>
                <a:cs typeface="Times New Roman" panose="02020603050405020304" pitchFamily="18" charset="0"/>
              </a:defRPr>
            </a:pPr>
            <a:endParaRPr lang="hu-HU"/>
          </a:p>
        </c:txPr>
        <c:crossAx val="570984176"/>
        <c:crosses val="autoZero"/>
        <c:auto val="1"/>
        <c:lblAlgn val="ctr"/>
        <c:lblOffset val="100"/>
        <c:noMultiLvlLbl val="0"/>
      </c:catAx>
      <c:valAx>
        <c:axId val="570984176"/>
        <c:scaling>
          <c:orientation val="minMax"/>
        </c:scaling>
        <c:delete val="0"/>
        <c:axPos val="l"/>
        <c:majorGridlines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 sz="800">
                <a:latin typeface="Times New Roman" panose="02020603050405020304" pitchFamily="18" charset="0"/>
                <a:cs typeface="Times New Roman" panose="02020603050405020304" pitchFamily="18" charset="0"/>
              </a:defRPr>
            </a:pPr>
            <a:endParaRPr lang="hu-HU"/>
          </a:p>
        </c:txPr>
        <c:crossAx val="570980648"/>
        <c:crosses val="autoZero"/>
        <c:crossBetween val="between"/>
        <c:dispUnits>
          <c:builtInUnit val="thousands"/>
        </c:dispUnits>
      </c:valAx>
    </c:plotArea>
    <c:legend>
      <c:legendPos val="b"/>
      <c:overlay val="0"/>
      <c:txPr>
        <a:bodyPr/>
        <a:lstStyle/>
        <a:p>
          <a:pPr>
            <a:defRPr sz="800">
              <a:latin typeface="Times New Roman" panose="02020603050405020304" pitchFamily="18" charset="0"/>
              <a:cs typeface="Times New Roman" panose="02020603050405020304" pitchFamily="18" charset="0"/>
            </a:defRPr>
          </a:pPr>
          <a:endParaRPr lang="hu-HU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4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hu-H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Idősorok_ábrák_Állományi!$AK$257</c:f>
              <c:strCache>
                <c:ptCount val="1"/>
                <c:pt idx="0">
                  <c:v>Élip éves éven belüli hitel változás (%)</c:v>
                </c:pt>
              </c:strCache>
            </c:strRef>
          </c:tx>
          <c:marker>
            <c:symbol val="none"/>
          </c:marker>
          <c:cat>
            <c:strRef>
              <c:f>Idősorok_ábrák_Állományi!$AL$254:$AU$254</c:f>
              <c:strCache>
                <c:ptCount val="10"/>
                <c:pt idx="0">
                  <c:v>2017.I./2016.I.</c:v>
                </c:pt>
                <c:pt idx="1">
                  <c:v>2017.II./2016.II.</c:v>
                </c:pt>
                <c:pt idx="2">
                  <c:v>2017.III./2016.III.</c:v>
                </c:pt>
                <c:pt idx="3">
                  <c:v>2017.IV./2016.IV.</c:v>
                </c:pt>
                <c:pt idx="4">
                  <c:v>2018.I./2017.I.</c:v>
                </c:pt>
                <c:pt idx="5">
                  <c:v>2018.II./2017.II.</c:v>
                </c:pt>
                <c:pt idx="6">
                  <c:v>2018.III/2017.III.</c:v>
                </c:pt>
                <c:pt idx="7">
                  <c:v>2018.IV./2017.IV.</c:v>
                </c:pt>
                <c:pt idx="8">
                  <c:v>2019.I./2018.I.</c:v>
                </c:pt>
                <c:pt idx="9">
                  <c:v>2019.II./2018.II.</c:v>
                </c:pt>
              </c:strCache>
            </c:strRef>
          </c:cat>
          <c:val>
            <c:numRef>
              <c:f>Idősorok_ábrák_Állományi!$AL$257:$AU$257</c:f>
              <c:numCache>
                <c:formatCode>0.00</c:formatCode>
                <c:ptCount val="10"/>
                <c:pt idx="0">
                  <c:v>-6.9423785604144399</c:v>
                </c:pt>
                <c:pt idx="1">
                  <c:v>-10.2297571152058</c:v>
                </c:pt>
                <c:pt idx="2">
                  <c:v>-0.79099374529879185</c:v>
                </c:pt>
                <c:pt idx="3">
                  <c:v>10.235660328200595</c:v>
                </c:pt>
                <c:pt idx="4">
                  <c:v>22.291438937596084</c:v>
                </c:pt>
                <c:pt idx="5">
                  <c:v>13.157977668327732</c:v>
                </c:pt>
                <c:pt idx="6">
                  <c:v>6.6782097807944751</c:v>
                </c:pt>
                <c:pt idx="7">
                  <c:v>7.8203705449109577</c:v>
                </c:pt>
                <c:pt idx="8">
                  <c:v>11.25861040299398</c:v>
                </c:pt>
                <c:pt idx="9">
                  <c:v>22.11096770055876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BD30-4BDF-AD66-4A226713F65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70981040"/>
        <c:axId val="570982608"/>
      </c:lineChart>
      <c:catAx>
        <c:axId val="570981040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570982608"/>
        <c:crosses val="autoZero"/>
        <c:auto val="1"/>
        <c:lblAlgn val="ctr"/>
        <c:lblOffset val="100"/>
        <c:noMultiLvlLbl val="0"/>
      </c:catAx>
      <c:valAx>
        <c:axId val="570982608"/>
        <c:scaling>
          <c:orientation val="minMax"/>
        </c:scaling>
        <c:delete val="0"/>
        <c:axPos val="l"/>
        <c:majorGridlines/>
        <c:numFmt formatCode="0.00" sourceLinked="1"/>
        <c:majorTickMark val="out"/>
        <c:minorTickMark val="none"/>
        <c:tickLblPos val="nextTo"/>
        <c:crossAx val="570981040"/>
        <c:crosses val="autoZero"/>
        <c:crossBetween val="between"/>
      </c:valAx>
    </c:plotArea>
    <c:legend>
      <c:legendPos val="b"/>
      <c:overlay val="0"/>
    </c:legend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4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hu-H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stacked"/>
        <c:varyColors val="0"/>
        <c:ser>
          <c:idx val="1"/>
          <c:order val="0"/>
          <c:tx>
            <c:strRef>
              <c:f>Idősorok_ábrák_Állományi!$J$274</c:f>
              <c:strCache>
                <c:ptCount val="1"/>
                <c:pt idx="0">
                  <c:v>Mg-i egyéni gazdaságok (milliárd Ft)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>
                    <a:latin typeface="Times New Roman" panose="02020603050405020304" pitchFamily="18" charset="0"/>
                    <a:cs typeface="Times New Roman" panose="02020603050405020304" pitchFamily="18" charset="0"/>
                  </a:defRPr>
                </a:pPr>
                <a:endParaRPr lang="hu-H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Idősorok_ábrák_Állományi!$K$273:$P$273</c:f>
              <c:strCache>
                <c:ptCount val="6"/>
                <c:pt idx="0">
                  <c:v>2016.I.</c:v>
                </c:pt>
                <c:pt idx="1">
                  <c:v>2017.I.</c:v>
                </c:pt>
                <c:pt idx="2">
                  <c:v>2018.I.</c:v>
                </c:pt>
                <c:pt idx="3">
                  <c:v>2019.I.</c:v>
                </c:pt>
                <c:pt idx="4">
                  <c:v>2020.I.</c:v>
                </c:pt>
                <c:pt idx="5">
                  <c:v>2021.I.</c:v>
                </c:pt>
              </c:strCache>
            </c:strRef>
          </c:cat>
          <c:val>
            <c:numRef>
              <c:f>Idősorok_ábrák_Állományi!$K$274:$P$274</c:f>
              <c:numCache>
                <c:formatCode>#\ ##0.0</c:formatCode>
                <c:ptCount val="6"/>
                <c:pt idx="0">
                  <c:v>108.687</c:v>
                </c:pt>
                <c:pt idx="1">
                  <c:v>292.25400000000002</c:v>
                </c:pt>
                <c:pt idx="2">
                  <c:v>317.654</c:v>
                </c:pt>
                <c:pt idx="3">
                  <c:v>334.36</c:v>
                </c:pt>
                <c:pt idx="4">
                  <c:v>340.81373000000002</c:v>
                </c:pt>
                <c:pt idx="5" formatCode="General">
                  <c:v>362.28800000000001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DD6D-401B-B9EE-7CDBD733BB51}"/>
            </c:ext>
          </c:extLst>
        </c:ser>
        <c:ser>
          <c:idx val="3"/>
          <c:order val="1"/>
          <c:tx>
            <c:strRef>
              <c:f>Idősorok_ábrák_Állományi!$J$275</c:f>
              <c:strCache>
                <c:ptCount val="1"/>
                <c:pt idx="0">
                  <c:v>Mg-i gazdasági szervezetek (milliárd Ft)</c:v>
                </c:pt>
              </c:strCache>
            </c:strRef>
          </c:tx>
          <c:spPr>
            <a:solidFill>
              <a:schemeClr val="accent3"/>
            </a:solidFill>
          </c:spPr>
          <c:invertIfNegative val="0"/>
          <c:dLbls>
            <c:dLbl>
              <c:idx val="0"/>
              <c:layout>
                <c:manualLayout>
                  <c:x val="2.4391489943599962E-3"/>
                  <c:y val="-1.899354304996562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DD6D-401B-B9EE-7CDBD733BB51}"/>
                </c:ex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0"/>
                  <c:y val="-2.442026963567008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2-DD6D-401B-B9EE-7CDBD733BB51}"/>
                </c:ex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1.2195744971799981E-3"/>
                  <c:y val="-2.713363292852234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DD6D-401B-B9EE-7CDBD733BB51}"/>
                </c:ex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1.2195744971799981E-3"/>
                  <c:y val="-3.256035951422679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4-DD6D-401B-B9EE-7CDBD733BB51}"/>
                </c:ex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>
                    <a:latin typeface="Times New Roman" panose="02020603050405020304" pitchFamily="18" charset="0"/>
                    <a:cs typeface="Times New Roman" panose="02020603050405020304" pitchFamily="18" charset="0"/>
                  </a:defRPr>
                </a:pPr>
                <a:endParaRPr lang="hu-H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Idősorok_ábrák_Állományi!$K$273:$P$273</c:f>
              <c:strCache>
                <c:ptCount val="6"/>
                <c:pt idx="0">
                  <c:v>2016.I.</c:v>
                </c:pt>
                <c:pt idx="1">
                  <c:v>2017.I.</c:v>
                </c:pt>
                <c:pt idx="2">
                  <c:v>2018.I.</c:v>
                </c:pt>
                <c:pt idx="3">
                  <c:v>2019.I.</c:v>
                </c:pt>
                <c:pt idx="4">
                  <c:v>2020.I.</c:v>
                </c:pt>
                <c:pt idx="5">
                  <c:v>2021.I.</c:v>
                </c:pt>
              </c:strCache>
            </c:strRef>
          </c:cat>
          <c:val>
            <c:numRef>
              <c:f>Idősorok_ábrák_Állományi!$K$275:$P$275</c:f>
              <c:numCache>
                <c:formatCode>#\ ##0.0</c:formatCode>
                <c:ptCount val="6"/>
                <c:pt idx="0">
                  <c:v>332.54899999999998</c:v>
                </c:pt>
                <c:pt idx="1">
                  <c:v>312.786</c:v>
                </c:pt>
                <c:pt idx="2">
                  <c:v>301.46699999999998</c:v>
                </c:pt>
                <c:pt idx="3">
                  <c:v>350.202</c:v>
                </c:pt>
                <c:pt idx="4">
                  <c:v>392.31833999999998</c:v>
                </c:pt>
                <c:pt idx="5" formatCode="General">
                  <c:v>452.18099999999998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5-DD6D-401B-B9EE-7CDBD733BB51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100"/>
        <c:axId val="570987704"/>
        <c:axId val="570987312"/>
      </c:barChart>
      <c:catAx>
        <c:axId val="570987704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>
                <a:latin typeface="Times New Roman" panose="02020603050405020304" pitchFamily="18" charset="0"/>
                <a:cs typeface="Times New Roman" panose="02020603050405020304" pitchFamily="18" charset="0"/>
              </a:defRPr>
            </a:pPr>
            <a:endParaRPr lang="hu-HU"/>
          </a:p>
        </c:txPr>
        <c:crossAx val="570987312"/>
        <c:crosses val="autoZero"/>
        <c:auto val="1"/>
        <c:lblAlgn val="ctr"/>
        <c:lblOffset val="100"/>
        <c:noMultiLvlLbl val="0"/>
      </c:catAx>
      <c:valAx>
        <c:axId val="570987312"/>
        <c:scaling>
          <c:orientation val="minMax"/>
        </c:scaling>
        <c:delete val="0"/>
        <c:axPos val="l"/>
        <c:majorGridlines/>
        <c:numFmt formatCode="#\ ##0.0" sourceLinked="1"/>
        <c:majorTickMark val="out"/>
        <c:minorTickMark val="none"/>
        <c:tickLblPos val="nextTo"/>
        <c:txPr>
          <a:bodyPr/>
          <a:lstStyle/>
          <a:p>
            <a:pPr>
              <a:defRPr>
                <a:latin typeface="Times New Roman" panose="02020603050405020304" pitchFamily="18" charset="0"/>
                <a:cs typeface="Times New Roman" panose="02020603050405020304" pitchFamily="18" charset="0"/>
              </a:defRPr>
            </a:pPr>
            <a:endParaRPr lang="hu-HU"/>
          </a:p>
        </c:txPr>
        <c:crossAx val="570987704"/>
        <c:crosses val="autoZero"/>
        <c:crossBetween val="between"/>
      </c:valAx>
    </c:plotArea>
    <c:legend>
      <c:legendPos val="b"/>
      <c:overlay val="0"/>
      <c:txPr>
        <a:bodyPr/>
        <a:lstStyle/>
        <a:p>
          <a:pPr>
            <a:defRPr>
              <a:latin typeface="Times New Roman" panose="02020603050405020304" pitchFamily="18" charset="0"/>
              <a:cs typeface="Times New Roman" panose="02020603050405020304" pitchFamily="18" charset="0"/>
            </a:defRPr>
          </a:pPr>
          <a:endParaRPr lang="hu-HU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5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hu-H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stacked"/>
        <c:varyColors val="0"/>
        <c:ser>
          <c:idx val="1"/>
          <c:order val="0"/>
          <c:tx>
            <c:strRef>
              <c:f>Idősorok_ábrák_Állományi!$J$6</c:f>
              <c:strCache>
                <c:ptCount val="1"/>
                <c:pt idx="0">
                  <c:v>Mgi hitel aránya/agrár összes (%)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 sz="800" b="1"/>
                </a:pPr>
                <a:endParaRPr lang="hu-H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Idősorok_ábrák_Állományi!$K$9:$AF$9</c:f>
              <c:strCache>
                <c:ptCount val="22"/>
                <c:pt idx="0">
                  <c:v>2016. I. </c:v>
                </c:pt>
                <c:pt idx="1">
                  <c:v>2016.II.</c:v>
                </c:pt>
                <c:pt idx="2">
                  <c:v>2016.III.</c:v>
                </c:pt>
                <c:pt idx="3">
                  <c:v>2016.IV.</c:v>
                </c:pt>
                <c:pt idx="4">
                  <c:v>2017.I.</c:v>
                </c:pt>
                <c:pt idx="5">
                  <c:v>2017.II.</c:v>
                </c:pt>
                <c:pt idx="6">
                  <c:v>2017.III.</c:v>
                </c:pt>
                <c:pt idx="7">
                  <c:v>2017.IV.</c:v>
                </c:pt>
                <c:pt idx="8">
                  <c:v>2018.I.R</c:v>
                </c:pt>
                <c:pt idx="9">
                  <c:v>2018.I. Ú</c:v>
                </c:pt>
                <c:pt idx="10">
                  <c:v>2018.II.</c:v>
                </c:pt>
                <c:pt idx="11">
                  <c:v>2018.III.</c:v>
                </c:pt>
                <c:pt idx="12">
                  <c:v>2018.IV.</c:v>
                </c:pt>
                <c:pt idx="13">
                  <c:v>2019.I.</c:v>
                </c:pt>
                <c:pt idx="14">
                  <c:v>2019.II.</c:v>
                </c:pt>
                <c:pt idx="15">
                  <c:v>2019.III.</c:v>
                </c:pt>
                <c:pt idx="16">
                  <c:v>2019.IV.</c:v>
                </c:pt>
                <c:pt idx="17">
                  <c:v>2020.I.</c:v>
                </c:pt>
                <c:pt idx="18">
                  <c:v>2020.II.</c:v>
                </c:pt>
                <c:pt idx="19">
                  <c:v>2020.III.</c:v>
                </c:pt>
                <c:pt idx="20">
                  <c:v>2020.IV.</c:v>
                </c:pt>
                <c:pt idx="21">
                  <c:v>2021. I.</c:v>
                </c:pt>
              </c:strCache>
            </c:strRef>
          </c:cat>
          <c:val>
            <c:numRef>
              <c:f>Idősorok_ábrák_Állományi!$K$6:$AF$6</c:f>
              <c:numCache>
                <c:formatCode>#,##0.00</c:formatCode>
                <c:ptCount val="22"/>
                <c:pt idx="0">
                  <c:v>53.479521390063226</c:v>
                </c:pt>
                <c:pt idx="1">
                  <c:v>54.035349986559837</c:v>
                </c:pt>
                <c:pt idx="2">
                  <c:v>55.02067706575999</c:v>
                </c:pt>
                <c:pt idx="3">
                  <c:v>57.152917157950064</c:v>
                </c:pt>
                <c:pt idx="4">
                  <c:v>60.637949229848729</c:v>
                </c:pt>
                <c:pt idx="5">
                  <c:v>61.877723701371004</c:v>
                </c:pt>
                <c:pt idx="6">
                  <c:v>60.072789073812146</c:v>
                </c:pt>
                <c:pt idx="7">
                  <c:v>57.037671488776645</c:v>
                </c:pt>
                <c:pt idx="8">
                  <c:v>56.304862431603866</c:v>
                </c:pt>
                <c:pt idx="9">
                  <c:v>57.724531580988746</c:v>
                </c:pt>
                <c:pt idx="10">
                  <c:v>58.087453554039492</c:v>
                </c:pt>
                <c:pt idx="11">
                  <c:v>57.367867310310686</c:v>
                </c:pt>
                <c:pt idx="12">
                  <c:v>55.280972881382937</c:v>
                </c:pt>
                <c:pt idx="13">
                  <c:v>56.809605887415138</c:v>
                </c:pt>
                <c:pt idx="14">
                  <c:v>58.585983883874391</c:v>
                </c:pt>
                <c:pt idx="15">
                  <c:v>57.73602591836088</c:v>
                </c:pt>
                <c:pt idx="16">
                  <c:v>57.221578887453902</c:v>
                </c:pt>
                <c:pt idx="17">
                  <c:v>56.731817909184478</c:v>
                </c:pt>
                <c:pt idx="18">
                  <c:v>59.387434927786018</c:v>
                </c:pt>
                <c:pt idx="19">
                  <c:v>57.799036391069016</c:v>
                </c:pt>
                <c:pt idx="20">
                  <c:v>56.932242832321847</c:v>
                </c:pt>
                <c:pt idx="21">
                  <c:v>56.932242832321847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55D7-4E6C-B9E0-5ACA45DC9588}"/>
            </c:ext>
          </c:extLst>
        </c:ser>
        <c:ser>
          <c:idx val="2"/>
          <c:order val="1"/>
          <c:tx>
            <c:strRef>
              <c:f>Idősorok_ábrák_Állományi!$J$7</c:f>
              <c:strCache>
                <c:ptCount val="1"/>
                <c:pt idx="0">
                  <c:v>Élip hitel aránya/agrár összes (%)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 wrap="square" lIns="38100" tIns="19050" rIns="38100" bIns="19050" anchor="ctr">
                <a:spAutoFit/>
              </a:bodyPr>
              <a:lstStyle/>
              <a:p>
                <a:pPr>
                  <a:defRPr sz="750" b="1"/>
                </a:pPr>
                <a:endParaRPr lang="hu-H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Idősorok_ábrák_Állományi!$K$9:$AF$9</c:f>
              <c:strCache>
                <c:ptCount val="22"/>
                <c:pt idx="0">
                  <c:v>2016. I. </c:v>
                </c:pt>
                <c:pt idx="1">
                  <c:v>2016.II.</c:v>
                </c:pt>
                <c:pt idx="2">
                  <c:v>2016.III.</c:v>
                </c:pt>
                <c:pt idx="3">
                  <c:v>2016.IV.</c:v>
                </c:pt>
                <c:pt idx="4">
                  <c:v>2017.I.</c:v>
                </c:pt>
                <c:pt idx="5">
                  <c:v>2017.II.</c:v>
                </c:pt>
                <c:pt idx="6">
                  <c:v>2017.III.</c:v>
                </c:pt>
                <c:pt idx="7">
                  <c:v>2017.IV.</c:v>
                </c:pt>
                <c:pt idx="8">
                  <c:v>2018.I.R</c:v>
                </c:pt>
                <c:pt idx="9">
                  <c:v>2018.I. Ú</c:v>
                </c:pt>
                <c:pt idx="10">
                  <c:v>2018.II.</c:v>
                </c:pt>
                <c:pt idx="11">
                  <c:v>2018.III.</c:v>
                </c:pt>
                <c:pt idx="12">
                  <c:v>2018.IV.</c:v>
                </c:pt>
                <c:pt idx="13">
                  <c:v>2019.I.</c:v>
                </c:pt>
                <c:pt idx="14">
                  <c:v>2019.II.</c:v>
                </c:pt>
                <c:pt idx="15">
                  <c:v>2019.III.</c:v>
                </c:pt>
                <c:pt idx="16">
                  <c:v>2019.IV.</c:v>
                </c:pt>
                <c:pt idx="17">
                  <c:v>2020.I.</c:v>
                </c:pt>
                <c:pt idx="18">
                  <c:v>2020.II.</c:v>
                </c:pt>
                <c:pt idx="19">
                  <c:v>2020.III.</c:v>
                </c:pt>
                <c:pt idx="20">
                  <c:v>2020.IV.</c:v>
                </c:pt>
                <c:pt idx="21">
                  <c:v>2021. I.</c:v>
                </c:pt>
              </c:strCache>
            </c:strRef>
          </c:cat>
          <c:val>
            <c:numRef>
              <c:f>Idősorok_ábrák_Állományi!$K$7:$AF$7</c:f>
              <c:numCache>
                <c:formatCode>0.00</c:formatCode>
                <c:ptCount val="22"/>
                <c:pt idx="0">
                  <c:v>46.52059981383082</c:v>
                </c:pt>
                <c:pt idx="1">
                  <c:v>45.964650013440163</c:v>
                </c:pt>
                <c:pt idx="2">
                  <c:v>44.97932293424001</c:v>
                </c:pt>
                <c:pt idx="3">
                  <c:v>42.847082842049936</c:v>
                </c:pt>
                <c:pt idx="4">
                  <c:v>39.361950548762216</c:v>
                </c:pt>
                <c:pt idx="5">
                  <c:v>38.122375703788528</c:v>
                </c:pt>
                <c:pt idx="6">
                  <c:v>39.927117750210108</c:v>
                </c:pt>
                <c:pt idx="7">
                  <c:v>42.962421914696478</c:v>
                </c:pt>
                <c:pt idx="8">
                  <c:v>43.695137568396134</c:v>
                </c:pt>
                <c:pt idx="9">
                  <c:v>42.275468419011247</c:v>
                </c:pt>
                <c:pt idx="10">
                  <c:v>41.912546445960508</c:v>
                </c:pt>
                <c:pt idx="11">
                  <c:v>42.632132689689314</c:v>
                </c:pt>
                <c:pt idx="12">
                  <c:v>44.719027118617063</c:v>
                </c:pt>
                <c:pt idx="13">
                  <c:v>43.190394112584862</c:v>
                </c:pt>
                <c:pt idx="14">
                  <c:v>41.414016116125616</c:v>
                </c:pt>
                <c:pt idx="15">
                  <c:v>42.26397408163912</c:v>
                </c:pt>
                <c:pt idx="16">
                  <c:v>42.77842111254607</c:v>
                </c:pt>
                <c:pt idx="17">
                  <c:v>43.268182090815522</c:v>
                </c:pt>
                <c:pt idx="18">
                  <c:v>40.612488505408294</c:v>
                </c:pt>
                <c:pt idx="19">
                  <c:v>42.201034744980817</c:v>
                </c:pt>
                <c:pt idx="20">
                  <c:v>43.067687305565002</c:v>
                </c:pt>
                <c:pt idx="21">
                  <c:v>43.067687305565002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9CDD-4412-960A-232F9EC018D9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100"/>
        <c:axId val="570989272"/>
        <c:axId val="570988096"/>
      </c:barChart>
      <c:catAx>
        <c:axId val="57098927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800"/>
            </a:pPr>
            <a:endParaRPr lang="hu-HU"/>
          </a:p>
        </c:txPr>
        <c:crossAx val="570988096"/>
        <c:crosses val="autoZero"/>
        <c:auto val="1"/>
        <c:lblAlgn val="ctr"/>
        <c:lblOffset val="100"/>
        <c:noMultiLvlLbl val="0"/>
      </c:catAx>
      <c:valAx>
        <c:axId val="570988096"/>
        <c:scaling>
          <c:orientation val="minMax"/>
        </c:scaling>
        <c:delete val="0"/>
        <c:axPos val="l"/>
        <c:majorGridlines/>
        <c:numFmt formatCode="#,##0.00" sourceLinked="1"/>
        <c:majorTickMark val="out"/>
        <c:minorTickMark val="none"/>
        <c:tickLblPos val="nextTo"/>
        <c:crossAx val="570989272"/>
        <c:crosses val="autoZero"/>
        <c:crossBetween val="between"/>
      </c:valAx>
    </c:plotArea>
    <c:legend>
      <c:legendPos val="b"/>
      <c:overlay val="0"/>
    </c:legend>
    <c:plotVisOnly val="1"/>
    <c:dispBlanksAs val="gap"/>
    <c:showDLblsOverMax val="0"/>
  </c:chart>
  <c:spPr>
    <a:ln>
      <a:noFill/>
    </a:ln>
  </c:spPr>
  <c:txPr>
    <a:bodyPr/>
    <a:lstStyle/>
    <a:p>
      <a:pPr>
        <a:defRPr>
          <a:latin typeface="Times New Roman" panose="02020603050405020304" pitchFamily="18" charset="0"/>
          <a:cs typeface="Times New Roman" panose="02020603050405020304" pitchFamily="18" charset="0"/>
        </a:defRPr>
      </a:pPr>
      <a:endParaRPr lang="hu-HU"/>
    </a:p>
  </c:txPr>
  <c:printSettings>
    <c:headerFooter/>
    <c:pageMargins b="0.75" l="0.7" r="0.7" t="0.75" header="0.3" footer="0.3"/>
    <c:pageSetup/>
  </c:printSettings>
</c:chartSpace>
</file>

<file path=xl/charts/chart5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hu-H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Idősorok_ábrák_Állományi!$J$269</c:f>
              <c:strCache>
                <c:ptCount val="1"/>
                <c:pt idx="0">
                  <c:v>Mgi hitel összes (millió forint)</c:v>
                </c:pt>
              </c:strCache>
            </c:strRef>
          </c:tx>
          <c:invertIfNegative val="0"/>
          <c:cat>
            <c:strRef>
              <c:f>Idősorok_ábrák_Állományi!$K$268:$P$268</c:f>
              <c:strCache>
                <c:ptCount val="6"/>
                <c:pt idx="0">
                  <c:v>2016.I.</c:v>
                </c:pt>
                <c:pt idx="1">
                  <c:v>2017.I.</c:v>
                </c:pt>
                <c:pt idx="2">
                  <c:v>2018.I.</c:v>
                </c:pt>
                <c:pt idx="3">
                  <c:v>2019.I.</c:v>
                </c:pt>
                <c:pt idx="4">
                  <c:v>2020.I.</c:v>
                </c:pt>
                <c:pt idx="5">
                  <c:v>2021.I.</c:v>
                </c:pt>
              </c:strCache>
            </c:strRef>
          </c:cat>
          <c:val>
            <c:numRef>
              <c:f>Idősorok_ábrák_Állományi!$K$269:$P$269</c:f>
              <c:numCache>
                <c:formatCode>#,##0</c:formatCode>
                <c:ptCount val="6"/>
                <c:pt idx="0">
                  <c:v>441236</c:v>
                </c:pt>
                <c:pt idx="1">
                  <c:v>605040</c:v>
                </c:pt>
                <c:pt idx="2">
                  <c:v>619121</c:v>
                </c:pt>
                <c:pt idx="3">
                  <c:v>684562</c:v>
                </c:pt>
                <c:pt idx="4">
                  <c:v>733132.07</c:v>
                </c:pt>
                <c:pt idx="5">
                  <c:v>814469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1A11-4C5A-B0E0-F239EF55C49E}"/>
            </c:ext>
          </c:extLst>
        </c:ser>
        <c:ser>
          <c:idx val="1"/>
          <c:order val="1"/>
          <c:tx>
            <c:strRef>
              <c:f>Idősorok_ábrák_Állományi!$J$270</c:f>
              <c:strCache>
                <c:ptCount val="1"/>
                <c:pt idx="0">
                  <c:v>Élip hitel összes (millió forint)</c:v>
                </c:pt>
              </c:strCache>
            </c:strRef>
          </c:tx>
          <c:invertIfNegative val="0"/>
          <c:cat>
            <c:strRef>
              <c:f>Idősorok_ábrák_Állományi!$K$268:$P$268</c:f>
              <c:strCache>
                <c:ptCount val="6"/>
                <c:pt idx="0">
                  <c:v>2016.I.</c:v>
                </c:pt>
                <c:pt idx="1">
                  <c:v>2017.I.</c:v>
                </c:pt>
                <c:pt idx="2">
                  <c:v>2018.I.</c:v>
                </c:pt>
                <c:pt idx="3">
                  <c:v>2019.I.</c:v>
                </c:pt>
                <c:pt idx="4">
                  <c:v>2020.I.</c:v>
                </c:pt>
                <c:pt idx="5">
                  <c:v>2021.I.</c:v>
                </c:pt>
              </c:strCache>
            </c:strRef>
          </c:cat>
          <c:val>
            <c:numRef>
              <c:f>Idősorok_ábrák_Állományi!$K$270:$P$270</c:f>
              <c:numCache>
                <c:formatCode>#,##0</c:formatCode>
                <c:ptCount val="6"/>
                <c:pt idx="0">
                  <c:v>383821</c:v>
                </c:pt>
                <c:pt idx="1">
                  <c:v>392750</c:v>
                </c:pt>
                <c:pt idx="2">
                  <c:v>453423</c:v>
                </c:pt>
                <c:pt idx="3">
                  <c:v>520449</c:v>
                </c:pt>
                <c:pt idx="4">
                  <c:v>559144.64</c:v>
                </c:pt>
                <c:pt idx="5">
                  <c:v>620729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1A11-4C5A-B0E0-F239EF55C49E}"/>
            </c:ext>
          </c:extLst>
        </c:ser>
        <c:ser>
          <c:idx val="2"/>
          <c:order val="2"/>
          <c:tx>
            <c:strRef>
              <c:f>Idősorok_ábrák_Állományi!$J$271</c:f>
              <c:strCache>
                <c:ptCount val="1"/>
                <c:pt idx="0">
                  <c:v>Agrárgazdaság összesen (millió Ft)</c:v>
                </c:pt>
              </c:strCache>
            </c:strRef>
          </c:tx>
          <c:invertIfNegative val="0"/>
          <c:cat>
            <c:strRef>
              <c:f>Idősorok_ábrák_Állományi!$K$268:$P$268</c:f>
              <c:strCache>
                <c:ptCount val="6"/>
                <c:pt idx="0">
                  <c:v>2016.I.</c:v>
                </c:pt>
                <c:pt idx="1">
                  <c:v>2017.I.</c:v>
                </c:pt>
                <c:pt idx="2">
                  <c:v>2018.I.</c:v>
                </c:pt>
                <c:pt idx="3">
                  <c:v>2019.I.</c:v>
                </c:pt>
                <c:pt idx="4">
                  <c:v>2020.I.</c:v>
                </c:pt>
                <c:pt idx="5">
                  <c:v>2021.I.</c:v>
                </c:pt>
              </c:strCache>
            </c:strRef>
          </c:cat>
          <c:val>
            <c:numRef>
              <c:f>Idősorok_ábrák_Állományi!$K$271:$P$271</c:f>
              <c:numCache>
                <c:formatCode>#,##0</c:formatCode>
                <c:ptCount val="6"/>
                <c:pt idx="0">
                  <c:v>825056</c:v>
                </c:pt>
                <c:pt idx="1">
                  <c:v>997791</c:v>
                </c:pt>
                <c:pt idx="2">
                  <c:v>1072544</c:v>
                </c:pt>
                <c:pt idx="3">
                  <c:v>1205011</c:v>
                </c:pt>
                <c:pt idx="4">
                  <c:v>1292276.71</c:v>
                </c:pt>
                <c:pt idx="5">
                  <c:v>1435198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1A11-4C5A-B0E0-F239EF55C49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70988880"/>
        <c:axId val="570989664"/>
      </c:barChart>
      <c:catAx>
        <c:axId val="570988880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570989664"/>
        <c:crosses val="autoZero"/>
        <c:auto val="1"/>
        <c:lblAlgn val="ctr"/>
        <c:lblOffset val="100"/>
        <c:noMultiLvlLbl val="0"/>
      </c:catAx>
      <c:valAx>
        <c:axId val="570989664"/>
        <c:scaling>
          <c:orientation val="minMax"/>
        </c:scaling>
        <c:delete val="0"/>
        <c:axPos val="l"/>
        <c:majorGridlines/>
        <c:numFmt formatCode="#,##0" sourceLinked="1"/>
        <c:majorTickMark val="out"/>
        <c:minorTickMark val="none"/>
        <c:tickLblPos val="nextTo"/>
        <c:crossAx val="570988880"/>
        <c:crosses val="autoZero"/>
        <c:crossBetween val="between"/>
      </c:valAx>
    </c:plotArea>
    <c:legend>
      <c:legendPos val="b"/>
      <c:overlay val="0"/>
    </c:legend>
    <c:plotVisOnly val="1"/>
    <c:dispBlanksAs val="gap"/>
    <c:showDLblsOverMax val="0"/>
  </c:chart>
  <c:spPr>
    <a:ln>
      <a:noFill/>
    </a:ln>
  </c:spPr>
  <c:txPr>
    <a:bodyPr/>
    <a:lstStyle/>
    <a:p>
      <a:pPr>
        <a:defRPr>
          <a:latin typeface="Times New Roman" panose="02020603050405020304" pitchFamily="18" charset="0"/>
          <a:cs typeface="Times New Roman" panose="02020603050405020304" pitchFamily="18" charset="0"/>
        </a:defRPr>
      </a:pPr>
      <a:endParaRPr lang="hu-HU"/>
    </a:p>
  </c:txPr>
  <c:printSettings>
    <c:headerFooter/>
    <c:pageMargins b="0.75" l="0.7" r="0.7" t="0.75" header="0.3" footer="0.3"/>
    <c:pageSetup/>
  </c:printSettings>
</c:chartSpace>
</file>

<file path=xl/charts/chart5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hu-H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3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 b="1">
                    <a:latin typeface="Times New Roman" panose="02020603050405020304" pitchFamily="18" charset="0"/>
                    <a:cs typeface="Times New Roman" panose="02020603050405020304" pitchFamily="18" charset="0"/>
                  </a:defRPr>
                </a:pPr>
                <a:endParaRPr lang="hu-HU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Idősorok_ábrák_Állományi!$AL$1:$BG$1</c:f>
              <c:strCache>
                <c:ptCount val="22"/>
                <c:pt idx="0">
                  <c:v>2016. I. </c:v>
                </c:pt>
                <c:pt idx="1">
                  <c:v>2016.II.</c:v>
                </c:pt>
                <c:pt idx="2">
                  <c:v>2016.III.</c:v>
                </c:pt>
                <c:pt idx="3">
                  <c:v>2016.IV.</c:v>
                </c:pt>
                <c:pt idx="4">
                  <c:v>2017.I.</c:v>
                </c:pt>
                <c:pt idx="5">
                  <c:v>2017.II.</c:v>
                </c:pt>
                <c:pt idx="6">
                  <c:v>2017.III.</c:v>
                </c:pt>
                <c:pt idx="7">
                  <c:v>2017.IV.</c:v>
                </c:pt>
                <c:pt idx="8">
                  <c:v>2018.I.R</c:v>
                </c:pt>
                <c:pt idx="9">
                  <c:v>2018.I. Ú</c:v>
                </c:pt>
                <c:pt idx="10">
                  <c:v>2018.II.</c:v>
                </c:pt>
                <c:pt idx="11">
                  <c:v>2018.III.</c:v>
                </c:pt>
                <c:pt idx="12">
                  <c:v>2018.IV.</c:v>
                </c:pt>
                <c:pt idx="13">
                  <c:v>2019.I.</c:v>
                </c:pt>
                <c:pt idx="14">
                  <c:v>2019.II.</c:v>
                </c:pt>
                <c:pt idx="15">
                  <c:v>2019.III.</c:v>
                </c:pt>
                <c:pt idx="16">
                  <c:v>2019.IV.</c:v>
                </c:pt>
                <c:pt idx="17">
                  <c:v>2020.I.</c:v>
                </c:pt>
                <c:pt idx="18">
                  <c:v>2020.II.</c:v>
                </c:pt>
                <c:pt idx="19">
                  <c:v>2020.III.</c:v>
                </c:pt>
                <c:pt idx="20">
                  <c:v>2020.IV.</c:v>
                </c:pt>
                <c:pt idx="21">
                  <c:v>2021.I.</c:v>
                </c:pt>
              </c:strCache>
            </c:strRef>
          </c:cat>
          <c:val>
            <c:numRef>
              <c:f>Idősorok_ábrák_Állományi!$AL$1:$BG$1</c:f>
              <c:numCache>
                <c:formatCode>General</c:formatCode>
                <c:ptCount val="2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90CB-477F-8A63-E9A5B6967381}"/>
            </c:ext>
          </c:extLst>
        </c:ser>
        <c:ser>
          <c:idx val="1"/>
          <c:order val="1"/>
          <c:invertIfNegative val="0"/>
          <c:dLbls>
            <c:spPr>
              <a:noFill/>
              <a:ln>
                <a:noFill/>
              </a:ln>
              <a:effectLst/>
            </c:sp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Idősorok_ábrák_Állományi!$AL$1:$BG$1</c:f>
              <c:strCache>
                <c:ptCount val="22"/>
                <c:pt idx="0">
                  <c:v>2016. I. </c:v>
                </c:pt>
                <c:pt idx="1">
                  <c:v>2016.II.</c:v>
                </c:pt>
                <c:pt idx="2">
                  <c:v>2016.III.</c:v>
                </c:pt>
                <c:pt idx="3">
                  <c:v>2016.IV.</c:v>
                </c:pt>
                <c:pt idx="4">
                  <c:v>2017.I.</c:v>
                </c:pt>
                <c:pt idx="5">
                  <c:v>2017.II.</c:v>
                </c:pt>
                <c:pt idx="6">
                  <c:v>2017.III.</c:v>
                </c:pt>
                <c:pt idx="7">
                  <c:v>2017.IV.</c:v>
                </c:pt>
                <c:pt idx="8">
                  <c:v>2018.I.R</c:v>
                </c:pt>
                <c:pt idx="9">
                  <c:v>2018.I. Ú</c:v>
                </c:pt>
                <c:pt idx="10">
                  <c:v>2018.II.</c:v>
                </c:pt>
                <c:pt idx="11">
                  <c:v>2018.III.</c:v>
                </c:pt>
                <c:pt idx="12">
                  <c:v>2018.IV.</c:v>
                </c:pt>
                <c:pt idx="13">
                  <c:v>2019.I.</c:v>
                </c:pt>
                <c:pt idx="14">
                  <c:v>2019.II.</c:v>
                </c:pt>
                <c:pt idx="15">
                  <c:v>2019.III.</c:v>
                </c:pt>
                <c:pt idx="16">
                  <c:v>2019.IV.</c:v>
                </c:pt>
                <c:pt idx="17">
                  <c:v>2020.I.</c:v>
                </c:pt>
                <c:pt idx="18">
                  <c:v>2020.II.</c:v>
                </c:pt>
                <c:pt idx="19">
                  <c:v>2020.III.</c:v>
                </c:pt>
                <c:pt idx="20">
                  <c:v>2020.IV.</c:v>
                </c:pt>
                <c:pt idx="21">
                  <c:v>2021.I.</c:v>
                </c:pt>
              </c:strCache>
            </c:strRef>
          </c:cat>
          <c:val>
            <c:numRef>
              <c:f>Idősorok_ábrák_Állományi!$AL$2:$BG$2</c:f>
              <c:numCache>
                <c:formatCode>0.0</c:formatCode>
                <c:ptCount val="22"/>
                <c:pt idx="0">
                  <c:v>441.23599999999999</c:v>
                </c:pt>
                <c:pt idx="1">
                  <c:v>458.33</c:v>
                </c:pt>
                <c:pt idx="2">
                  <c:v>508.774</c:v>
                </c:pt>
                <c:pt idx="3">
                  <c:v>563.25</c:v>
                </c:pt>
                <c:pt idx="4">
                  <c:v>605.04</c:v>
                </c:pt>
                <c:pt idx="5">
                  <c:v>622.48</c:v>
                </c:pt>
                <c:pt idx="6">
                  <c:v>644.72400000000005</c:v>
                </c:pt>
                <c:pt idx="7">
                  <c:v>610.65899999999999</c:v>
                </c:pt>
                <c:pt idx="8">
                  <c:v>580.36800000000005</c:v>
                </c:pt>
                <c:pt idx="9">
                  <c:v>619.12099999999998</c:v>
                </c:pt>
                <c:pt idx="10">
                  <c:v>644.70799999999997</c:v>
                </c:pt>
                <c:pt idx="11">
                  <c:v>667.404</c:v>
                </c:pt>
                <c:pt idx="12">
                  <c:v>624.45000000000005</c:v>
                </c:pt>
                <c:pt idx="13">
                  <c:v>684.56200000000001</c:v>
                </c:pt>
                <c:pt idx="14">
                  <c:v>722.61300000000006</c:v>
                </c:pt>
                <c:pt idx="15">
                  <c:v>746.51700000000005</c:v>
                </c:pt>
                <c:pt idx="16">
                  <c:v>728.85699999999997</c:v>
                </c:pt>
                <c:pt idx="17">
                  <c:v>733.13207</c:v>
                </c:pt>
                <c:pt idx="18">
                  <c:v>775.62900000000002</c:v>
                </c:pt>
                <c:pt idx="19">
                  <c:v>812.51400000000001</c:v>
                </c:pt>
                <c:pt idx="20">
                  <c:v>814.923</c:v>
                </c:pt>
                <c:pt idx="21">
                  <c:v>814.46900000000005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A15C-4504-A984-9215DF0167F4}"/>
            </c:ext>
          </c:extLst>
        </c:ser>
        <c:dLbls>
          <c:dLblPos val="inBase"/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572177928"/>
        <c:axId val="572184200"/>
      </c:barChart>
      <c:catAx>
        <c:axId val="572177928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750">
                <a:latin typeface="Times New Roman" panose="02020603050405020304" pitchFamily="18" charset="0"/>
                <a:cs typeface="Times New Roman" panose="02020603050405020304" pitchFamily="18" charset="0"/>
              </a:defRPr>
            </a:pPr>
            <a:endParaRPr lang="hu-HU"/>
          </a:p>
        </c:txPr>
        <c:crossAx val="572184200"/>
        <c:crosses val="autoZero"/>
        <c:auto val="1"/>
        <c:lblAlgn val="ctr"/>
        <c:lblOffset val="100"/>
        <c:noMultiLvlLbl val="0"/>
      </c:catAx>
      <c:valAx>
        <c:axId val="572184200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>
                <a:latin typeface="Times New Roman" panose="02020603050405020304" pitchFamily="18" charset="0"/>
                <a:cs typeface="Times New Roman" panose="02020603050405020304" pitchFamily="18" charset="0"/>
              </a:defRPr>
            </a:pPr>
            <a:endParaRPr lang="hu-HU"/>
          </a:p>
        </c:txPr>
        <c:crossAx val="572177928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5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hu-H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Idősorok_ábrák_Állományi!$J$449</c:f>
              <c:strCache>
                <c:ptCount val="1"/>
                <c:pt idx="0">
                  <c:v>Mezőgazdasági devizahitelek - összes (millió Ft)</c:v>
                </c:pt>
              </c:strCache>
            </c:strRef>
          </c:tx>
          <c:spPr>
            <a:solidFill>
              <a:srgbClr val="9BBB59">
                <a:lumMod val="50000"/>
              </a:srgbClr>
            </a:solidFill>
            <a:ln>
              <a:noFill/>
            </a:ln>
            <a:effectLst/>
          </c:spPr>
          <c:invertIfNegative val="0"/>
          <c:cat>
            <c:strRef>
              <c:f>Idősorok_ábrák_Állományi!$K$447:$AF$447</c:f>
              <c:strCache>
                <c:ptCount val="22"/>
                <c:pt idx="0">
                  <c:v>2016. I. </c:v>
                </c:pt>
                <c:pt idx="1">
                  <c:v>2016.II.</c:v>
                </c:pt>
                <c:pt idx="2">
                  <c:v>2016.III.</c:v>
                </c:pt>
                <c:pt idx="3">
                  <c:v>2016.IV.</c:v>
                </c:pt>
                <c:pt idx="4">
                  <c:v>2017.I.</c:v>
                </c:pt>
                <c:pt idx="5">
                  <c:v>2017.II.</c:v>
                </c:pt>
                <c:pt idx="6">
                  <c:v>2017.III.</c:v>
                </c:pt>
                <c:pt idx="7">
                  <c:v>2017.IV.</c:v>
                </c:pt>
                <c:pt idx="8">
                  <c:v>2018.I.R</c:v>
                </c:pt>
                <c:pt idx="9">
                  <c:v>2018.I.Ú</c:v>
                </c:pt>
                <c:pt idx="10">
                  <c:v>2018.II.</c:v>
                </c:pt>
                <c:pt idx="11">
                  <c:v>2018.III.</c:v>
                </c:pt>
                <c:pt idx="12">
                  <c:v>2018.IV.</c:v>
                </c:pt>
                <c:pt idx="13">
                  <c:v>2019.I.</c:v>
                </c:pt>
                <c:pt idx="14">
                  <c:v>2019.II.</c:v>
                </c:pt>
                <c:pt idx="15">
                  <c:v>2019.III.</c:v>
                </c:pt>
                <c:pt idx="16">
                  <c:v>2019.IV.</c:v>
                </c:pt>
                <c:pt idx="17">
                  <c:v>2020.I.</c:v>
                </c:pt>
                <c:pt idx="18">
                  <c:v>2020.II.</c:v>
                </c:pt>
                <c:pt idx="19">
                  <c:v>2020.III.</c:v>
                </c:pt>
                <c:pt idx="20">
                  <c:v>2020.IV.</c:v>
                </c:pt>
                <c:pt idx="21">
                  <c:v>2021.I.</c:v>
                </c:pt>
              </c:strCache>
            </c:strRef>
          </c:cat>
          <c:val>
            <c:numRef>
              <c:f>Idősorok_ábrák_Állományi!$K$449:$AF$449</c:f>
              <c:numCache>
                <c:formatCode>#,##0</c:formatCode>
                <c:ptCount val="22"/>
                <c:pt idx="0">
                  <c:v>31364.4682294136</c:v>
                </c:pt>
                <c:pt idx="1">
                  <c:v>29334.7917495744</c:v>
                </c:pt>
                <c:pt idx="2">
                  <c:v>34171.752126890504</c:v>
                </c:pt>
                <c:pt idx="3">
                  <c:v>37660.666088791397</c:v>
                </c:pt>
                <c:pt idx="4">
                  <c:v>41140.142770372004</c:v>
                </c:pt>
                <c:pt idx="5">
                  <c:v>41996.4894526852</c:v>
                </c:pt>
                <c:pt idx="6">
                  <c:v>46769.623705370897</c:v>
                </c:pt>
                <c:pt idx="7">
                  <c:v>45909.137999974591</c:v>
                </c:pt>
                <c:pt idx="8">
                  <c:v>46769</c:v>
                </c:pt>
                <c:pt idx="9">
                  <c:v>47142</c:v>
                </c:pt>
                <c:pt idx="10">
                  <c:v>48726</c:v>
                </c:pt>
                <c:pt idx="11">
                  <c:v>51296</c:v>
                </c:pt>
                <c:pt idx="12">
                  <c:v>52569</c:v>
                </c:pt>
                <c:pt idx="13">
                  <c:v>57194</c:v>
                </c:pt>
                <c:pt idx="14">
                  <c:v>54690</c:v>
                </c:pt>
                <c:pt idx="15">
                  <c:v>54031</c:v>
                </c:pt>
                <c:pt idx="16">
                  <c:v>56981</c:v>
                </c:pt>
                <c:pt idx="17">
                  <c:v>60898</c:v>
                </c:pt>
                <c:pt idx="18">
                  <c:v>57301</c:v>
                </c:pt>
                <c:pt idx="19">
                  <c:v>55535</c:v>
                </c:pt>
                <c:pt idx="20">
                  <c:v>53291</c:v>
                </c:pt>
                <c:pt idx="21">
                  <c:v>45366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E7D7-4D6E-AE92-712FF142AC13}"/>
            </c:ext>
          </c:extLst>
        </c:ser>
        <c:ser>
          <c:idx val="1"/>
          <c:order val="1"/>
          <c:tx>
            <c:strRef>
              <c:f>Idősorok_ábrák_Állományi!$J$448</c:f>
              <c:strCache>
                <c:ptCount val="1"/>
                <c:pt idx="0">
                  <c:v>Mezőgazdasági forinthitelek - összes (millió Ft)</c:v>
                </c:pt>
              </c:strCache>
            </c:strRef>
          </c:tx>
          <c:spPr>
            <a:solidFill>
              <a:srgbClr val="C00000"/>
            </a:solidFill>
            <a:ln>
              <a:noFill/>
            </a:ln>
            <a:effectLst/>
          </c:spPr>
          <c:invertIfNegative val="0"/>
          <c:cat>
            <c:strRef>
              <c:f>Idősorok_ábrák_Állományi!$K$447:$AF$447</c:f>
              <c:strCache>
                <c:ptCount val="22"/>
                <c:pt idx="0">
                  <c:v>2016. I. </c:v>
                </c:pt>
                <c:pt idx="1">
                  <c:v>2016.II.</c:v>
                </c:pt>
                <c:pt idx="2">
                  <c:v>2016.III.</c:v>
                </c:pt>
                <c:pt idx="3">
                  <c:v>2016.IV.</c:v>
                </c:pt>
                <c:pt idx="4">
                  <c:v>2017.I.</c:v>
                </c:pt>
                <c:pt idx="5">
                  <c:v>2017.II.</c:v>
                </c:pt>
                <c:pt idx="6">
                  <c:v>2017.III.</c:v>
                </c:pt>
                <c:pt idx="7">
                  <c:v>2017.IV.</c:v>
                </c:pt>
                <c:pt idx="8">
                  <c:v>2018.I.R</c:v>
                </c:pt>
                <c:pt idx="9">
                  <c:v>2018.I.Ú</c:v>
                </c:pt>
                <c:pt idx="10">
                  <c:v>2018.II.</c:v>
                </c:pt>
                <c:pt idx="11">
                  <c:v>2018.III.</c:v>
                </c:pt>
                <c:pt idx="12">
                  <c:v>2018.IV.</c:v>
                </c:pt>
                <c:pt idx="13">
                  <c:v>2019.I.</c:v>
                </c:pt>
                <c:pt idx="14">
                  <c:v>2019.II.</c:v>
                </c:pt>
                <c:pt idx="15">
                  <c:v>2019.III.</c:v>
                </c:pt>
                <c:pt idx="16">
                  <c:v>2019.IV.</c:v>
                </c:pt>
                <c:pt idx="17">
                  <c:v>2020.I.</c:v>
                </c:pt>
                <c:pt idx="18">
                  <c:v>2020.II.</c:v>
                </c:pt>
                <c:pt idx="19">
                  <c:v>2020.III.</c:v>
                </c:pt>
                <c:pt idx="20">
                  <c:v>2020.IV.</c:v>
                </c:pt>
                <c:pt idx="21">
                  <c:v>2021.I.</c:v>
                </c:pt>
              </c:strCache>
            </c:strRef>
          </c:cat>
          <c:val>
            <c:numRef>
              <c:f>Idősorok_ábrák_Állományi!$K$448:$AF$448</c:f>
              <c:numCache>
                <c:formatCode>#,##0</c:formatCode>
                <c:ptCount val="22"/>
                <c:pt idx="0">
                  <c:v>409870.76179899997</c:v>
                </c:pt>
                <c:pt idx="1">
                  <c:v>428995.39824894193</c:v>
                </c:pt>
                <c:pt idx="2">
                  <c:v>474601.58699600003</c:v>
                </c:pt>
                <c:pt idx="3">
                  <c:v>525589.42417999986</c:v>
                </c:pt>
                <c:pt idx="4">
                  <c:v>563899.78637700004</c:v>
                </c:pt>
                <c:pt idx="5">
                  <c:v>580483.56628499995</c:v>
                </c:pt>
                <c:pt idx="6">
                  <c:v>597954.99838400004</c:v>
                </c:pt>
                <c:pt idx="7">
                  <c:v>564749.78803599998</c:v>
                </c:pt>
                <c:pt idx="8">
                  <c:v>533598.98600000003</c:v>
                </c:pt>
                <c:pt idx="9">
                  <c:v>571979</c:v>
                </c:pt>
                <c:pt idx="10">
                  <c:v>595982</c:v>
                </c:pt>
                <c:pt idx="11">
                  <c:v>616108</c:v>
                </c:pt>
                <c:pt idx="12">
                  <c:v>571881</c:v>
                </c:pt>
                <c:pt idx="13">
                  <c:v>627368</c:v>
                </c:pt>
                <c:pt idx="14">
                  <c:v>623398</c:v>
                </c:pt>
                <c:pt idx="15">
                  <c:v>692486</c:v>
                </c:pt>
                <c:pt idx="16">
                  <c:v>671876</c:v>
                </c:pt>
                <c:pt idx="17">
                  <c:v>672235</c:v>
                </c:pt>
                <c:pt idx="18">
                  <c:v>718329</c:v>
                </c:pt>
                <c:pt idx="19">
                  <c:v>756980</c:v>
                </c:pt>
                <c:pt idx="20">
                  <c:v>761632</c:v>
                </c:pt>
                <c:pt idx="21">
                  <c:v>769103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E7D7-4D6E-AE92-712FF142AC1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572174792"/>
        <c:axId val="572184592"/>
      </c:barChart>
      <c:lineChart>
        <c:grouping val="standard"/>
        <c:varyColors val="0"/>
        <c:ser>
          <c:idx val="2"/>
          <c:order val="2"/>
          <c:tx>
            <c:strRef>
              <c:f>Idősorok_ábrák_Állományi!$J$451</c:f>
              <c:strCache>
                <c:ptCount val="1"/>
                <c:pt idx="0">
                  <c:v>Mezőgazdasági devizahitelek/teljes hitelállomány (%)</c:v>
                </c:pt>
              </c:strCache>
            </c:strRef>
          </c:tx>
          <c:spPr>
            <a:ln w="38100" cap="rnd">
              <a:solidFill>
                <a:srgbClr val="F79646">
                  <a:lumMod val="75000"/>
                </a:srgbClr>
              </a:solidFill>
              <a:round/>
            </a:ln>
            <a:effectLst/>
          </c:spPr>
          <c:marker>
            <c:symbol val="none"/>
          </c:marker>
          <c:dLbls>
            <c:dLbl>
              <c:idx val="0"/>
              <c:layout>
                <c:manualLayout>
                  <c:x val="-3.5081917130510468E-2"/>
                  <c:y val="-2.645582998597982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2-E7D7-4D6E-AE92-712FF142AC13}"/>
                </c:ex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3.6153205053752913E-2"/>
                  <c:y val="-2.645582998597982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E7D7-4D6E-AE92-712FF142AC13}"/>
                </c:ex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3.2939509977502196E-2"/>
                  <c:y val="-2.986948546804173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4-E7D7-4D6E-AE92-712FF142AC13}"/>
                </c:ex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3.5081917130510468E-2"/>
                  <c:y val="-2.986948546804173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5-E7D7-4D6E-AE92-712FF142AC13}"/>
                </c:ex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3.2939509977502196E-2"/>
                  <c:y val="-3.328314095010364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6-E7D7-4D6E-AE92-712FF142AC13}"/>
                </c:ex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3.4010713554006332E-2"/>
                  <c:y val="-3.669679643216555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7-E7D7-4D6E-AE92-712FF142AC13}"/>
                </c:ex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-3.4010713554006332E-2"/>
                  <c:y val="-2.645582998597982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8-E7D7-4D6E-AE92-712FF142AC13}"/>
                </c:ex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-3.4010713554006332E-2"/>
                  <c:y val="-2.986948546804173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9-E7D7-4D6E-AE92-712FF142AC13}"/>
                </c:ex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 val="-3.2939509977502196E-2"/>
                  <c:y val="-2.986948546804173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A-E7D7-4D6E-AE92-712FF142AC13}"/>
                </c:ext>
                <c:ext xmlns:c15="http://schemas.microsoft.com/office/drawing/2012/chart" uri="{CE6537A1-D6FC-4f65-9D91-7224C49458BB}"/>
              </c:extLst>
            </c:dLbl>
            <c:dLbl>
              <c:idx val="9"/>
              <c:layout>
                <c:manualLayout>
                  <c:x val="-3.4010713554006332E-2"/>
                  <c:y val="-4.01104519142274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B-E7D7-4D6E-AE92-712FF142AC13}"/>
                </c:ext>
                <c:ext xmlns:c15="http://schemas.microsoft.com/office/drawing/2012/chart" uri="{CE6537A1-D6FC-4f65-9D91-7224C49458BB}"/>
              </c:extLst>
            </c:dLbl>
            <c:dLbl>
              <c:idx val="10"/>
              <c:layout>
                <c:manualLayout>
                  <c:x val="-3.6153120707014604E-2"/>
                  <c:y val="-4.352410739628938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C-E7D7-4D6E-AE92-712FF142AC13}"/>
                </c:ext>
                <c:ext xmlns:c15="http://schemas.microsoft.com/office/drawing/2012/chart" uri="{CE6537A1-D6FC-4f65-9D91-7224C49458BB}"/>
              </c:extLst>
            </c:dLbl>
            <c:dLbl>
              <c:idx val="11"/>
              <c:layout>
                <c:manualLayout>
                  <c:x val="-3.4010713554006332E-2"/>
                  <c:y val="-4.352410739628938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D-E7D7-4D6E-AE92-712FF142AC13}"/>
                </c:ex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>
                    <a:latin typeface="Times New Roman" panose="02020603050405020304" pitchFamily="18" charset="0"/>
                    <a:cs typeface="Times New Roman" panose="02020603050405020304" pitchFamily="18" charset="0"/>
                  </a:defRPr>
                </a:pPr>
                <a:endParaRPr lang="hu-HU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Idősorok_ábrák_Állományi!$AL$546:$BG$546</c:f>
              <c:strCache>
                <c:ptCount val="22"/>
                <c:pt idx="0">
                  <c:v>2016. I. </c:v>
                </c:pt>
                <c:pt idx="1">
                  <c:v>2016.II.</c:v>
                </c:pt>
                <c:pt idx="2">
                  <c:v>2016.III.</c:v>
                </c:pt>
                <c:pt idx="3">
                  <c:v>2016.IV.</c:v>
                </c:pt>
                <c:pt idx="4">
                  <c:v>2017.I.</c:v>
                </c:pt>
                <c:pt idx="5">
                  <c:v>2017.II.</c:v>
                </c:pt>
                <c:pt idx="6">
                  <c:v>2017.III.</c:v>
                </c:pt>
                <c:pt idx="7">
                  <c:v>2017.IV.</c:v>
                </c:pt>
                <c:pt idx="8">
                  <c:v>2018.I.R</c:v>
                </c:pt>
                <c:pt idx="9">
                  <c:v>2018.I.Ú</c:v>
                </c:pt>
                <c:pt idx="10">
                  <c:v>2018.II.</c:v>
                </c:pt>
                <c:pt idx="11">
                  <c:v>2018.III.</c:v>
                </c:pt>
                <c:pt idx="12">
                  <c:v>2018.IV.</c:v>
                </c:pt>
                <c:pt idx="13">
                  <c:v>2019.I.</c:v>
                </c:pt>
                <c:pt idx="14">
                  <c:v>2019.II.</c:v>
                </c:pt>
                <c:pt idx="15">
                  <c:v>2019.III.</c:v>
                </c:pt>
                <c:pt idx="16">
                  <c:v>2019.IV.</c:v>
                </c:pt>
                <c:pt idx="17">
                  <c:v>2020.I.</c:v>
                </c:pt>
                <c:pt idx="18">
                  <c:v>2020.II.</c:v>
                </c:pt>
                <c:pt idx="19">
                  <c:v>2020.III.</c:v>
                </c:pt>
                <c:pt idx="20">
                  <c:v>2020.IV.</c:v>
                </c:pt>
                <c:pt idx="21">
                  <c:v>2021.I.</c:v>
                </c:pt>
              </c:strCache>
            </c:strRef>
          </c:cat>
          <c:val>
            <c:numRef>
              <c:f>Idősorok_ábrák_Állományi!$K$451:$AF$451</c:f>
              <c:numCache>
                <c:formatCode>#,##0.00</c:formatCode>
                <c:ptCount val="22"/>
                <c:pt idx="0">
                  <c:v>3.8014954382213451</c:v>
                </c:pt>
                <c:pt idx="1">
                  <c:v>3.458456754786198</c:v>
                </c:pt>
                <c:pt idx="2">
                  <c:v>3.6954617437676758</c:v>
                </c:pt>
                <c:pt idx="3">
                  <c:v>3.8214223703429355</c:v>
                </c:pt>
                <c:pt idx="4">
                  <c:v>4.1231256295402714</c:v>
                </c:pt>
                <c:pt idx="5">
                  <c:v>4.1746651168540216</c:v>
                </c:pt>
                <c:pt idx="6">
                  <c:v>4.3578064197572202</c:v>
                </c:pt>
                <c:pt idx="7">
                  <c:v>4.2880720588292007</c:v>
                </c:pt>
                <c:pt idx="8">
                  <c:v>4.5373338081314403</c:v>
                </c:pt>
                <c:pt idx="9">
                  <c:v>4.3953441537130411</c:v>
                </c:pt>
                <c:pt idx="10">
                  <c:v>4.3901568801288775</c:v>
                </c:pt>
                <c:pt idx="11">
                  <c:v>4.4092365666817948</c:v>
                </c:pt>
                <c:pt idx="12">
                  <c:v>4.5304863492479353</c:v>
                </c:pt>
                <c:pt idx="13">
                  <c:v>4.7463467138474256</c:v>
                </c:pt>
                <c:pt idx="14">
                  <c:v>4.4340019603980148</c:v>
                </c:pt>
                <c:pt idx="15">
                  <c:v>4.1787865733733547</c:v>
                </c:pt>
                <c:pt idx="16">
                  <c:v>4.4735013680132214</c:v>
                </c:pt>
                <c:pt idx="17">
                  <c:v>4.7124582164759437</c:v>
                </c:pt>
                <c:pt idx="18">
                  <c:v>4.387354532640046</c:v>
                </c:pt>
                <c:pt idx="19">
                  <c:v>3.9505405272746286</c:v>
                </c:pt>
                <c:pt idx="20">
                  <c:v>3.7230244727153328</c:v>
                </c:pt>
                <c:pt idx="21">
                  <c:v>3.1609575821593952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E-E7D7-4D6E-AE92-712FF142AC13}"/>
            </c:ext>
          </c:extLst>
        </c:ser>
        <c:ser>
          <c:idx val="3"/>
          <c:order val="3"/>
          <c:tx>
            <c:strRef>
              <c:f>Idősorok_ábrák_Állományi!$J$450</c:f>
              <c:strCache>
                <c:ptCount val="1"/>
                <c:pt idx="0">
                  <c:v>Mezőgazdasági forinthitelek/teljes hitelállomány (%)</c:v>
                </c:pt>
              </c:strCache>
            </c:strRef>
          </c:tx>
          <c:spPr>
            <a:ln w="38100">
              <a:solidFill>
                <a:srgbClr val="9BBB59">
                  <a:lumMod val="50000"/>
                </a:srgbClr>
              </a:solidFill>
            </a:ln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>
                    <a:latin typeface="Times New Roman" panose="02020603050405020304" pitchFamily="18" charset="0"/>
                    <a:cs typeface="Times New Roman" panose="02020603050405020304" pitchFamily="18" charset="0"/>
                  </a:defRPr>
                </a:pPr>
                <a:endParaRPr lang="hu-HU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Idősorok_ábrák_Állományi!$AL$546:$BG$546</c:f>
              <c:strCache>
                <c:ptCount val="22"/>
                <c:pt idx="0">
                  <c:v>2016. I. </c:v>
                </c:pt>
                <c:pt idx="1">
                  <c:v>2016.II.</c:v>
                </c:pt>
                <c:pt idx="2">
                  <c:v>2016.III.</c:v>
                </c:pt>
                <c:pt idx="3">
                  <c:v>2016.IV.</c:v>
                </c:pt>
                <c:pt idx="4">
                  <c:v>2017.I.</c:v>
                </c:pt>
                <c:pt idx="5">
                  <c:v>2017.II.</c:v>
                </c:pt>
                <c:pt idx="6">
                  <c:v>2017.III.</c:v>
                </c:pt>
                <c:pt idx="7">
                  <c:v>2017.IV.</c:v>
                </c:pt>
                <c:pt idx="8">
                  <c:v>2018.I.R</c:v>
                </c:pt>
                <c:pt idx="9">
                  <c:v>2018.I.Ú</c:v>
                </c:pt>
                <c:pt idx="10">
                  <c:v>2018.II.</c:v>
                </c:pt>
                <c:pt idx="11">
                  <c:v>2018.III.</c:v>
                </c:pt>
                <c:pt idx="12">
                  <c:v>2018.IV.</c:v>
                </c:pt>
                <c:pt idx="13">
                  <c:v>2019.I.</c:v>
                </c:pt>
                <c:pt idx="14">
                  <c:v>2019.II.</c:v>
                </c:pt>
                <c:pt idx="15">
                  <c:v>2019.III.</c:v>
                </c:pt>
                <c:pt idx="16">
                  <c:v>2019.IV.</c:v>
                </c:pt>
                <c:pt idx="17">
                  <c:v>2020.I.</c:v>
                </c:pt>
                <c:pt idx="18">
                  <c:v>2020.II.</c:v>
                </c:pt>
                <c:pt idx="19">
                  <c:v>2020.III.</c:v>
                </c:pt>
                <c:pt idx="20">
                  <c:v>2020.IV.</c:v>
                </c:pt>
                <c:pt idx="21">
                  <c:v>2021.I.</c:v>
                </c:pt>
              </c:strCache>
            </c:strRef>
          </c:cat>
          <c:val>
            <c:numRef>
              <c:f>Idősorok_ábrák_Állományi!$K$450:$AF$450</c:f>
              <c:numCache>
                <c:formatCode>#,##0.00</c:formatCode>
                <c:ptCount val="22"/>
                <c:pt idx="0">
                  <c:v>49.677929172668044</c:v>
                </c:pt>
                <c:pt idx="1">
                  <c:v>50.576872865230897</c:v>
                </c:pt>
                <c:pt idx="2">
                  <c:v>51.325199883297302</c:v>
                </c:pt>
                <c:pt idx="3">
                  <c:v>53.331483262715984</c:v>
                </c:pt>
                <c:pt idx="4">
                  <c:v>56.51486614134248</c:v>
                </c:pt>
                <c:pt idx="5">
                  <c:v>57.70302533994456</c:v>
                </c:pt>
                <c:pt idx="6">
                  <c:v>55.715054435737819</c:v>
                </c:pt>
                <c:pt idx="7">
                  <c:v>52.74958084179724</c:v>
                </c:pt>
                <c:pt idx="8">
                  <c:v>51.767553703574052</c:v>
                </c:pt>
                <c:pt idx="9">
                  <c:v>53.329187427275713</c:v>
                </c:pt>
                <c:pt idx="10">
                  <c:v>53.697296673910614</c:v>
                </c:pt>
                <c:pt idx="11">
                  <c:v>52.958630743628888</c:v>
                </c:pt>
                <c:pt idx="12">
                  <c:v>49.285682890948252</c:v>
                </c:pt>
                <c:pt idx="13">
                  <c:v>52.063259173567708</c:v>
                </c:pt>
                <c:pt idx="14">
                  <c:v>50.542109235842048</c:v>
                </c:pt>
                <c:pt idx="15">
                  <c:v>53.557239344987515</c:v>
                </c:pt>
                <c:pt idx="16">
                  <c:v>52.748077519440706</c:v>
                </c:pt>
                <c:pt idx="17">
                  <c:v>52.019431658719597</c:v>
                </c:pt>
                <c:pt idx="18">
                  <c:v>55.000156961951653</c:v>
                </c:pt>
                <c:pt idx="19">
                  <c:v>53.848566999844216</c:v>
                </c:pt>
                <c:pt idx="20">
                  <c:v>53.209258133702207</c:v>
                </c:pt>
                <c:pt idx="21">
                  <c:v>53.588633763424973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F-E7D7-4D6E-AE92-712FF142AC1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72181456"/>
        <c:axId val="572178712"/>
      </c:lineChart>
      <c:catAx>
        <c:axId val="57217479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hu-HU"/>
          </a:p>
        </c:txPr>
        <c:crossAx val="572184592"/>
        <c:crosses val="autoZero"/>
        <c:auto val="1"/>
        <c:lblAlgn val="ctr"/>
        <c:lblOffset val="100"/>
        <c:noMultiLvlLbl val="0"/>
      </c:catAx>
      <c:valAx>
        <c:axId val="57218459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hu-HU"/>
          </a:p>
        </c:txPr>
        <c:crossAx val="572174792"/>
        <c:crosses val="autoZero"/>
        <c:crossBetween val="between"/>
      </c:valAx>
      <c:valAx>
        <c:axId val="572178712"/>
        <c:scaling>
          <c:orientation val="minMax"/>
          <c:min val="0"/>
        </c:scaling>
        <c:delete val="0"/>
        <c:axPos val="r"/>
        <c:numFmt formatCode="#,##0.00" sourceLinked="1"/>
        <c:majorTickMark val="out"/>
        <c:minorTickMark val="out"/>
        <c:tickLblPos val="nextTo"/>
        <c:spPr>
          <a:noFill/>
          <a:ln>
            <a:solidFill>
              <a:srgbClr val="F79646">
                <a:lumMod val="75000"/>
              </a:srgb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hu-HU"/>
          </a:p>
        </c:txPr>
        <c:crossAx val="572181456"/>
        <c:crosses val="max"/>
        <c:crossBetween val="between"/>
      </c:valAx>
      <c:catAx>
        <c:axId val="57218145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572178712"/>
        <c:crossesAt val="0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hu-HU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hu-HU"/>
    </a:p>
  </c:txPr>
  <c:printSettings>
    <c:headerFooter/>
    <c:pageMargins b="0.75" l="0.7" r="0.7" t="0.75" header="0.3" footer="0.3"/>
    <c:pageSetup/>
  </c:printSettings>
</c:chartSpace>
</file>

<file path=xl/charts/chart5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hu-H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Idősorok_ábrák_Állományi!$J$455</c:f>
              <c:strCache>
                <c:ptCount val="1"/>
                <c:pt idx="0">
                  <c:v>Élelmiszeripari devizahitelek - összes (millió Ft)</c:v>
                </c:pt>
              </c:strCache>
            </c:strRef>
          </c:tx>
          <c:spPr>
            <a:solidFill>
              <a:srgbClr val="9BBB59">
                <a:lumMod val="50000"/>
              </a:srgbClr>
            </a:solidFill>
            <a:ln>
              <a:noFill/>
            </a:ln>
            <a:effectLst/>
          </c:spPr>
          <c:invertIfNegative val="0"/>
          <c:cat>
            <c:strRef>
              <c:f>Idősorok_ábrák_Állományi!$K$453:$AF$453</c:f>
              <c:strCache>
                <c:ptCount val="22"/>
                <c:pt idx="0">
                  <c:v>2016. I. </c:v>
                </c:pt>
                <c:pt idx="1">
                  <c:v>2016.II.</c:v>
                </c:pt>
                <c:pt idx="2">
                  <c:v>2016.III.</c:v>
                </c:pt>
                <c:pt idx="3">
                  <c:v>2016.IV.</c:v>
                </c:pt>
                <c:pt idx="4">
                  <c:v>2017.I.</c:v>
                </c:pt>
                <c:pt idx="5">
                  <c:v>2017.II.</c:v>
                </c:pt>
                <c:pt idx="6">
                  <c:v>2017.III.</c:v>
                </c:pt>
                <c:pt idx="7">
                  <c:v>2017.IV.</c:v>
                </c:pt>
                <c:pt idx="8">
                  <c:v>2018.I.R</c:v>
                </c:pt>
                <c:pt idx="9">
                  <c:v>2018.I.Ú</c:v>
                </c:pt>
                <c:pt idx="10">
                  <c:v>2018.II.</c:v>
                </c:pt>
                <c:pt idx="11">
                  <c:v>2018.III.</c:v>
                </c:pt>
                <c:pt idx="12">
                  <c:v>2018.IV.</c:v>
                </c:pt>
                <c:pt idx="13">
                  <c:v>2019.I.</c:v>
                </c:pt>
                <c:pt idx="14">
                  <c:v>2019.II.</c:v>
                </c:pt>
                <c:pt idx="15">
                  <c:v>2019.III.</c:v>
                </c:pt>
                <c:pt idx="16">
                  <c:v>2019.IV.</c:v>
                </c:pt>
                <c:pt idx="17">
                  <c:v>2020.I.</c:v>
                </c:pt>
                <c:pt idx="18">
                  <c:v>2020.II.</c:v>
                </c:pt>
                <c:pt idx="19">
                  <c:v>2020.III.</c:v>
                </c:pt>
                <c:pt idx="20">
                  <c:v>2020.IV.</c:v>
                </c:pt>
                <c:pt idx="21">
                  <c:v>2021.I.</c:v>
                </c:pt>
              </c:strCache>
            </c:strRef>
          </c:cat>
          <c:val>
            <c:numRef>
              <c:f>Idősorok_ábrák_Állományi!$K$455:$AF$455</c:f>
              <c:numCache>
                <c:formatCode>#,##0</c:formatCode>
                <c:ptCount val="22"/>
                <c:pt idx="0">
                  <c:v>136433.62389929319</c:v>
                </c:pt>
                <c:pt idx="1">
                  <c:v>144316.86073847042</c:v>
                </c:pt>
                <c:pt idx="2">
                  <c:v>153697.68261956648</c:v>
                </c:pt>
                <c:pt idx="3">
                  <c:v>154201.4885238508</c:v>
                </c:pt>
                <c:pt idx="4">
                  <c:v>150494.94876165802</c:v>
                </c:pt>
                <c:pt idx="5">
                  <c:v>156233.1315921426</c:v>
                </c:pt>
                <c:pt idx="6">
                  <c:v>185110.34207353101</c:v>
                </c:pt>
                <c:pt idx="7">
                  <c:v>191230.2476876998</c:v>
                </c:pt>
                <c:pt idx="8">
                  <c:v>192655</c:v>
                </c:pt>
                <c:pt idx="9">
                  <c:v>192825</c:v>
                </c:pt>
                <c:pt idx="10">
                  <c:v>206388</c:v>
                </c:pt>
                <c:pt idx="11">
                  <c:v>206388</c:v>
                </c:pt>
                <c:pt idx="12">
                  <c:v>204109</c:v>
                </c:pt>
                <c:pt idx="13">
                  <c:v>216545</c:v>
                </c:pt>
                <c:pt idx="14">
                  <c:v>223947</c:v>
                </c:pt>
                <c:pt idx="15">
                  <c:v>249596</c:v>
                </c:pt>
                <c:pt idx="16">
                  <c:v>216839</c:v>
                </c:pt>
                <c:pt idx="17">
                  <c:v>237495</c:v>
                </c:pt>
                <c:pt idx="18">
                  <c:v>229983</c:v>
                </c:pt>
                <c:pt idx="19">
                  <c:v>248411</c:v>
                </c:pt>
                <c:pt idx="20">
                  <c:v>248261</c:v>
                </c:pt>
                <c:pt idx="21">
                  <c:v>239983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E7D7-4D6E-AE92-712FF142AC13}"/>
            </c:ext>
          </c:extLst>
        </c:ser>
        <c:ser>
          <c:idx val="1"/>
          <c:order val="1"/>
          <c:tx>
            <c:strRef>
              <c:f>Idősorok_ábrák_Állományi!$J$454</c:f>
              <c:strCache>
                <c:ptCount val="1"/>
                <c:pt idx="0">
                  <c:v>Élelmiszeripari forinthitelek - összes (millió Ft)</c:v>
                </c:pt>
              </c:strCache>
            </c:strRef>
          </c:tx>
          <c:spPr>
            <a:solidFill>
              <a:srgbClr val="C00000"/>
            </a:solidFill>
            <a:ln>
              <a:noFill/>
            </a:ln>
            <a:effectLst/>
          </c:spPr>
          <c:invertIfNegative val="0"/>
          <c:cat>
            <c:strRef>
              <c:f>Idősorok_ábrák_Állományi!$K$453:$AF$453</c:f>
              <c:strCache>
                <c:ptCount val="22"/>
                <c:pt idx="0">
                  <c:v>2016. I. </c:v>
                </c:pt>
                <c:pt idx="1">
                  <c:v>2016.II.</c:v>
                </c:pt>
                <c:pt idx="2">
                  <c:v>2016.III.</c:v>
                </c:pt>
                <c:pt idx="3">
                  <c:v>2016.IV.</c:v>
                </c:pt>
                <c:pt idx="4">
                  <c:v>2017.I.</c:v>
                </c:pt>
                <c:pt idx="5">
                  <c:v>2017.II.</c:v>
                </c:pt>
                <c:pt idx="6">
                  <c:v>2017.III.</c:v>
                </c:pt>
                <c:pt idx="7">
                  <c:v>2017.IV.</c:v>
                </c:pt>
                <c:pt idx="8">
                  <c:v>2018.I.R</c:v>
                </c:pt>
                <c:pt idx="9">
                  <c:v>2018.I.Ú</c:v>
                </c:pt>
                <c:pt idx="10">
                  <c:v>2018.II.</c:v>
                </c:pt>
                <c:pt idx="11">
                  <c:v>2018.III.</c:v>
                </c:pt>
                <c:pt idx="12">
                  <c:v>2018.IV.</c:v>
                </c:pt>
                <c:pt idx="13">
                  <c:v>2019.I.</c:v>
                </c:pt>
                <c:pt idx="14">
                  <c:v>2019.II.</c:v>
                </c:pt>
                <c:pt idx="15">
                  <c:v>2019.III.</c:v>
                </c:pt>
                <c:pt idx="16">
                  <c:v>2019.IV.</c:v>
                </c:pt>
                <c:pt idx="17">
                  <c:v>2020.I.</c:v>
                </c:pt>
                <c:pt idx="18">
                  <c:v>2020.II.</c:v>
                </c:pt>
                <c:pt idx="19">
                  <c:v>2020.III.</c:v>
                </c:pt>
                <c:pt idx="20">
                  <c:v>2020.IV.</c:v>
                </c:pt>
                <c:pt idx="21">
                  <c:v>2021.I.</c:v>
                </c:pt>
              </c:strCache>
            </c:strRef>
          </c:cat>
          <c:val>
            <c:numRef>
              <c:f>Idősorok_ábrák_Állományi!$K$454:$AF$454</c:f>
              <c:numCache>
                <c:formatCode>#,##0</c:formatCode>
                <c:ptCount val="22"/>
                <c:pt idx="0">
                  <c:v>247387.19938399998</c:v>
                </c:pt>
                <c:pt idx="1">
                  <c:v>245557.62057999999</c:v>
                </c:pt>
                <c:pt idx="2">
                  <c:v>262224.03658199997</c:v>
                </c:pt>
                <c:pt idx="3">
                  <c:v>268062.777879</c:v>
                </c:pt>
                <c:pt idx="4">
                  <c:v>242255.305238</c:v>
                </c:pt>
                <c:pt idx="5">
                  <c:v>227271.443225</c:v>
                </c:pt>
                <c:pt idx="6">
                  <c:v>243402.78897200001</c:v>
                </c:pt>
                <c:pt idx="7">
                  <c:v>268735.04550899996</c:v>
                </c:pt>
                <c:pt idx="8">
                  <c:v>257736.53</c:v>
                </c:pt>
                <c:pt idx="9">
                  <c:v>260598</c:v>
                </c:pt>
                <c:pt idx="10">
                  <c:v>258796</c:v>
                </c:pt>
                <c:pt idx="11">
                  <c:v>285265</c:v>
                </c:pt>
                <c:pt idx="12">
                  <c:v>301034</c:v>
                </c:pt>
                <c:pt idx="13">
                  <c:v>303904</c:v>
                </c:pt>
                <c:pt idx="14">
                  <c:v>284110</c:v>
                </c:pt>
                <c:pt idx="15">
                  <c:v>296870</c:v>
                </c:pt>
                <c:pt idx="16">
                  <c:v>328049</c:v>
                </c:pt>
                <c:pt idx="17">
                  <c:v>321650</c:v>
                </c:pt>
                <c:pt idx="18">
                  <c:v>300436</c:v>
                </c:pt>
                <c:pt idx="19">
                  <c:v>344833</c:v>
                </c:pt>
                <c:pt idx="20">
                  <c:v>368206</c:v>
                </c:pt>
                <c:pt idx="21">
                  <c:v>380746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E7D7-4D6E-AE92-712FF142AC1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572178320"/>
        <c:axId val="572180672"/>
      </c:barChart>
      <c:lineChart>
        <c:grouping val="standard"/>
        <c:varyColors val="0"/>
        <c:ser>
          <c:idx val="2"/>
          <c:order val="2"/>
          <c:tx>
            <c:strRef>
              <c:f>Idősorok_ábrák_Állományi!$J$457</c:f>
              <c:strCache>
                <c:ptCount val="1"/>
                <c:pt idx="0">
                  <c:v>Élelmiszeripari devizahitelek/teljes hitelállomány (%)</c:v>
                </c:pt>
              </c:strCache>
            </c:strRef>
          </c:tx>
          <c:spPr>
            <a:ln w="38100" cap="rnd">
              <a:solidFill>
                <a:srgbClr val="F79646">
                  <a:lumMod val="75000"/>
                </a:srgbClr>
              </a:solidFill>
              <a:round/>
            </a:ln>
            <a:effectLst/>
          </c:spPr>
          <c:marker>
            <c:symbol val="none"/>
          </c:marker>
          <c:dLbls>
            <c:dLbl>
              <c:idx val="0"/>
              <c:layout>
                <c:manualLayout>
                  <c:x val="-3.5081917130510468E-2"/>
                  <c:y val="-2.645582998597982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2-E7D7-4D6E-AE92-712FF142AC13}"/>
                </c:ex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3.6153205053752913E-2"/>
                  <c:y val="-2.645582998597982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E7D7-4D6E-AE92-712FF142AC13}"/>
                </c:ex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3.2939509977502196E-2"/>
                  <c:y val="-2.986948546804173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4-E7D7-4D6E-AE92-712FF142AC13}"/>
                </c:ex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3.5081917130510468E-2"/>
                  <c:y val="-2.986948546804173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5-E7D7-4D6E-AE92-712FF142AC13}"/>
                </c:ex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3.2939509977502196E-2"/>
                  <c:y val="-3.328314095010364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6-E7D7-4D6E-AE92-712FF142AC13}"/>
                </c:ex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3.4010713554006332E-2"/>
                  <c:y val="-3.669679643216555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7-E7D7-4D6E-AE92-712FF142AC13}"/>
                </c:ex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-3.4010713554006332E-2"/>
                  <c:y val="-2.645582998597982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8-E7D7-4D6E-AE92-712FF142AC13}"/>
                </c:ex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-3.4010713554006332E-2"/>
                  <c:y val="-2.986948546804173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9-E7D7-4D6E-AE92-712FF142AC13}"/>
                </c:ex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 val="-3.2939509977502196E-2"/>
                  <c:y val="-2.986948546804173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A-E7D7-4D6E-AE92-712FF142AC13}"/>
                </c:ext>
                <c:ext xmlns:c15="http://schemas.microsoft.com/office/drawing/2012/chart" uri="{CE6537A1-D6FC-4f65-9D91-7224C49458BB}"/>
              </c:extLst>
            </c:dLbl>
            <c:dLbl>
              <c:idx val="9"/>
              <c:layout>
                <c:manualLayout>
                  <c:x val="-3.4010713554006332E-2"/>
                  <c:y val="-4.01104519142274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B-E7D7-4D6E-AE92-712FF142AC13}"/>
                </c:ext>
                <c:ext xmlns:c15="http://schemas.microsoft.com/office/drawing/2012/chart" uri="{CE6537A1-D6FC-4f65-9D91-7224C49458BB}"/>
              </c:extLst>
            </c:dLbl>
            <c:dLbl>
              <c:idx val="10"/>
              <c:layout>
                <c:manualLayout>
                  <c:x val="-3.6153120707014604E-2"/>
                  <c:y val="-4.352410739628938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C-E7D7-4D6E-AE92-712FF142AC13}"/>
                </c:ext>
                <c:ext xmlns:c15="http://schemas.microsoft.com/office/drawing/2012/chart" uri="{CE6537A1-D6FC-4f65-9D91-7224C49458BB}"/>
              </c:extLst>
            </c:dLbl>
            <c:dLbl>
              <c:idx val="11"/>
              <c:layout>
                <c:manualLayout>
                  <c:x val="-3.4010713554006332E-2"/>
                  <c:y val="-4.352410739628938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D-E7D7-4D6E-AE92-712FF142AC13}"/>
                </c:ex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>
                    <a:latin typeface="Times New Roman" panose="02020603050405020304" pitchFamily="18" charset="0"/>
                    <a:cs typeface="Times New Roman" panose="02020603050405020304" pitchFamily="18" charset="0"/>
                  </a:defRPr>
                </a:pPr>
                <a:endParaRPr lang="hu-HU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Idősorok_ábrák_Állományi!$K$453:$AF$453</c:f>
              <c:strCache>
                <c:ptCount val="22"/>
                <c:pt idx="0">
                  <c:v>2016. I. </c:v>
                </c:pt>
                <c:pt idx="1">
                  <c:v>2016.II.</c:v>
                </c:pt>
                <c:pt idx="2">
                  <c:v>2016.III.</c:v>
                </c:pt>
                <c:pt idx="3">
                  <c:v>2016.IV.</c:v>
                </c:pt>
                <c:pt idx="4">
                  <c:v>2017.I.</c:v>
                </c:pt>
                <c:pt idx="5">
                  <c:v>2017.II.</c:v>
                </c:pt>
                <c:pt idx="6">
                  <c:v>2017.III.</c:v>
                </c:pt>
                <c:pt idx="7">
                  <c:v>2017.IV.</c:v>
                </c:pt>
                <c:pt idx="8">
                  <c:v>2018.I.R</c:v>
                </c:pt>
                <c:pt idx="9">
                  <c:v>2018.I.Ú</c:v>
                </c:pt>
                <c:pt idx="10">
                  <c:v>2018.II.</c:v>
                </c:pt>
                <c:pt idx="11">
                  <c:v>2018.III.</c:v>
                </c:pt>
                <c:pt idx="12">
                  <c:v>2018.IV.</c:v>
                </c:pt>
                <c:pt idx="13">
                  <c:v>2019.I.</c:v>
                </c:pt>
                <c:pt idx="14">
                  <c:v>2019.II.</c:v>
                </c:pt>
                <c:pt idx="15">
                  <c:v>2019.III.</c:v>
                </c:pt>
                <c:pt idx="16">
                  <c:v>2019.IV.</c:v>
                </c:pt>
                <c:pt idx="17">
                  <c:v>2020.I.</c:v>
                </c:pt>
                <c:pt idx="18">
                  <c:v>2020.II.</c:v>
                </c:pt>
                <c:pt idx="19">
                  <c:v>2020.III.</c:v>
                </c:pt>
                <c:pt idx="20">
                  <c:v>2020.IV.</c:v>
                </c:pt>
                <c:pt idx="21">
                  <c:v>2021.I.</c:v>
                </c:pt>
              </c:strCache>
            </c:strRef>
          </c:cat>
          <c:val>
            <c:numRef>
              <c:f>Idősorok_ábrák_Állományi!$K$457:$AF$457</c:f>
              <c:numCache>
                <c:formatCode>#,##0.00</c:formatCode>
                <c:ptCount val="22"/>
                <c:pt idx="0">
                  <c:v>16.536285425900449</c:v>
                </c:pt>
                <c:pt idx="1">
                  <c:v>17.0143911745255</c:v>
                </c:pt>
                <c:pt idx="2">
                  <c:v>16.621445225203857</c:v>
                </c:pt>
                <c:pt idx="3">
                  <c:v>15.646802857812483</c:v>
                </c:pt>
                <c:pt idx="4">
                  <c:v>15.082825157388999</c:v>
                </c:pt>
                <c:pt idx="5">
                  <c:v>15.530369634571434</c:v>
                </c:pt>
                <c:pt idx="6">
                  <c:v>17.247841080210616</c:v>
                </c:pt>
                <c:pt idx="7">
                  <c:v>17.861565641094518</c:v>
                </c:pt>
                <c:pt idx="8">
                  <c:v>18.690586602355459</c:v>
                </c:pt>
                <c:pt idx="9">
                  <c:v>17.978283408419607</c:v>
                </c:pt>
                <c:pt idx="10">
                  <c:v>18.595322788163173</c:v>
                </c:pt>
                <c:pt idx="11">
                  <c:v>17.740438173041216</c:v>
                </c:pt>
                <c:pt idx="12">
                  <c:v>17.590462787168232</c:v>
                </c:pt>
                <c:pt idx="13">
                  <c:v>17.970375374166707</c:v>
                </c:pt>
                <c:pt idx="14">
                  <c:v>18.156544834983617</c:v>
                </c:pt>
                <c:pt idx="15">
                  <c:v>19.303888759558323</c:v>
                </c:pt>
                <c:pt idx="16">
                  <c:v>17.023737090233919</c:v>
                </c:pt>
                <c:pt idx="17">
                  <c:v>18.378029888041549</c:v>
                </c:pt>
                <c:pt idx="18">
                  <c:v>17.60906367218994</c:v>
                </c:pt>
                <c:pt idx="19">
                  <c:v>17.670977274166162</c:v>
                </c:pt>
                <c:pt idx="20">
                  <c:v>17.344050188977146</c:v>
                </c:pt>
                <c:pt idx="21">
                  <c:v>16.721246824479969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E-E7D7-4D6E-AE92-712FF142AC13}"/>
            </c:ext>
          </c:extLst>
        </c:ser>
        <c:ser>
          <c:idx val="3"/>
          <c:order val="3"/>
          <c:tx>
            <c:strRef>
              <c:f>Idősorok_ábrák_Állományi!$J$456</c:f>
              <c:strCache>
                <c:ptCount val="1"/>
                <c:pt idx="0">
                  <c:v>Élelmiszeripari forinthitelek/teljes hitelállomány (%)</c:v>
                </c:pt>
              </c:strCache>
            </c:strRef>
          </c:tx>
          <c:spPr>
            <a:ln w="38100">
              <a:solidFill>
                <a:srgbClr val="9BBB59">
                  <a:lumMod val="50000"/>
                </a:srgbClr>
              </a:solidFill>
            </a:ln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>
                    <a:latin typeface="Times New Roman" panose="02020603050405020304" pitchFamily="18" charset="0"/>
                    <a:cs typeface="Times New Roman" panose="02020603050405020304" pitchFamily="18" charset="0"/>
                  </a:defRPr>
                </a:pPr>
                <a:endParaRPr lang="hu-HU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Idősorok_ábrák_Állományi!$K$453:$AF$453</c:f>
              <c:strCache>
                <c:ptCount val="22"/>
                <c:pt idx="0">
                  <c:v>2016. I. </c:v>
                </c:pt>
                <c:pt idx="1">
                  <c:v>2016.II.</c:v>
                </c:pt>
                <c:pt idx="2">
                  <c:v>2016.III.</c:v>
                </c:pt>
                <c:pt idx="3">
                  <c:v>2016.IV.</c:v>
                </c:pt>
                <c:pt idx="4">
                  <c:v>2017.I.</c:v>
                </c:pt>
                <c:pt idx="5">
                  <c:v>2017.II.</c:v>
                </c:pt>
                <c:pt idx="6">
                  <c:v>2017.III.</c:v>
                </c:pt>
                <c:pt idx="7">
                  <c:v>2017.IV.</c:v>
                </c:pt>
                <c:pt idx="8">
                  <c:v>2018.I.R</c:v>
                </c:pt>
                <c:pt idx="9">
                  <c:v>2018.I.Ú</c:v>
                </c:pt>
                <c:pt idx="10">
                  <c:v>2018.II.</c:v>
                </c:pt>
                <c:pt idx="11">
                  <c:v>2018.III.</c:v>
                </c:pt>
                <c:pt idx="12">
                  <c:v>2018.IV.</c:v>
                </c:pt>
                <c:pt idx="13">
                  <c:v>2019.I.</c:v>
                </c:pt>
                <c:pt idx="14">
                  <c:v>2019.II.</c:v>
                </c:pt>
                <c:pt idx="15">
                  <c:v>2019.III.</c:v>
                </c:pt>
                <c:pt idx="16">
                  <c:v>2019.IV.</c:v>
                </c:pt>
                <c:pt idx="17">
                  <c:v>2020.I.</c:v>
                </c:pt>
                <c:pt idx="18">
                  <c:v>2020.II.</c:v>
                </c:pt>
                <c:pt idx="19">
                  <c:v>2020.III.</c:v>
                </c:pt>
                <c:pt idx="20">
                  <c:v>2020.IV.</c:v>
                </c:pt>
                <c:pt idx="21">
                  <c:v>2021.I.</c:v>
                </c:pt>
              </c:strCache>
            </c:strRef>
          </c:cat>
          <c:val>
            <c:numRef>
              <c:f>Idősorok_ábrák_Állományi!$K$456:$AF$456</c:f>
              <c:numCache>
                <c:formatCode>#,##0.00</c:formatCode>
                <c:ptCount val="22"/>
                <c:pt idx="0">
                  <c:v>29.984289963210166</c:v>
                </c:pt>
                <c:pt idx="1">
                  <c:v>28.950279205457406</c:v>
                </c:pt>
                <c:pt idx="2">
                  <c:v>28.357893147731179</c:v>
                </c:pt>
                <c:pt idx="3">
                  <c:v>27.200291509128601</c:v>
                </c:pt>
                <c:pt idx="4">
                  <c:v>24.279183071728248</c:v>
                </c:pt>
                <c:pt idx="5">
                  <c:v>22.591939908629975</c:v>
                </c:pt>
                <c:pt idx="6">
                  <c:v>22.679298064294354</c:v>
                </c:pt>
                <c:pt idx="7">
                  <c:v>25.100781458279052</c:v>
                </c:pt>
                <c:pt idx="8">
                  <c:v>25.004525885939046</c:v>
                </c:pt>
                <c:pt idx="9">
                  <c:v>24.29718501059164</c:v>
                </c:pt>
                <c:pt idx="10">
                  <c:v>23.317223657797335</c:v>
                </c:pt>
                <c:pt idx="11">
                  <c:v>24.520447387602974</c:v>
                </c:pt>
                <c:pt idx="12">
                  <c:v>25.943625095769423</c:v>
                </c:pt>
                <c:pt idx="13">
                  <c:v>25.220018738418155</c:v>
                </c:pt>
                <c:pt idx="14">
                  <c:v>23.034271292168217</c:v>
                </c:pt>
                <c:pt idx="15">
                  <c:v>22.960085322080801</c:v>
                </c:pt>
                <c:pt idx="16">
                  <c:v>25.754684022312158</c:v>
                </c:pt>
                <c:pt idx="17">
                  <c:v>24.890180060584704</c:v>
                </c:pt>
                <c:pt idx="18">
                  <c:v>23.003424833218354</c:v>
                </c:pt>
                <c:pt idx="19">
                  <c:v>24.530057470814658</c:v>
                </c:pt>
                <c:pt idx="20">
                  <c:v>25.723667204605317</c:v>
                </c:pt>
                <c:pt idx="21">
                  <c:v>26.52916182993566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F-E7D7-4D6E-AE92-712FF142AC1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72182240"/>
        <c:axId val="572179104"/>
      </c:lineChart>
      <c:catAx>
        <c:axId val="5721783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hu-HU"/>
          </a:p>
        </c:txPr>
        <c:crossAx val="572180672"/>
        <c:crosses val="autoZero"/>
        <c:auto val="1"/>
        <c:lblAlgn val="ctr"/>
        <c:lblOffset val="100"/>
        <c:noMultiLvlLbl val="0"/>
      </c:catAx>
      <c:valAx>
        <c:axId val="57218067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hu-HU"/>
          </a:p>
        </c:txPr>
        <c:crossAx val="572178320"/>
        <c:crosses val="autoZero"/>
        <c:crossBetween val="between"/>
      </c:valAx>
      <c:valAx>
        <c:axId val="572179104"/>
        <c:scaling>
          <c:orientation val="minMax"/>
          <c:min val="0"/>
        </c:scaling>
        <c:delete val="0"/>
        <c:axPos val="r"/>
        <c:numFmt formatCode="#,##0.00" sourceLinked="1"/>
        <c:majorTickMark val="out"/>
        <c:minorTickMark val="out"/>
        <c:tickLblPos val="nextTo"/>
        <c:spPr>
          <a:noFill/>
          <a:ln>
            <a:solidFill>
              <a:srgbClr val="F79646">
                <a:lumMod val="75000"/>
              </a:srgb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hu-HU"/>
          </a:p>
        </c:txPr>
        <c:crossAx val="572182240"/>
        <c:crosses val="max"/>
        <c:crossBetween val="between"/>
      </c:valAx>
      <c:catAx>
        <c:axId val="57218224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572179104"/>
        <c:crossesAt val="0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hu-HU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hu-HU"/>
    </a:p>
  </c:txPr>
  <c:printSettings>
    <c:headerFooter/>
    <c:pageMargins b="0.75" l="0.7" r="0.7" t="0.75" header="0.3" footer="0.3"/>
    <c:pageSetup/>
  </c:printSettings>
</c:chartSpace>
</file>

<file path=xl/charts/chart5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hu-H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4.1287049655845511E-3"/>
          <c:y val="0"/>
          <c:w val="0.99463143014916988"/>
          <c:h val="1"/>
        </c:manualLayout>
      </c:layout>
      <c:ofPieChart>
        <c:ofPieType val="pie"/>
        <c:varyColors val="1"/>
        <c:ser>
          <c:idx val="0"/>
          <c:order val="0"/>
          <c:dLbls>
            <c:dLbl>
              <c:idx val="0"/>
              <c:layout>
                <c:manualLayout>
                  <c:x val="0.10005225857074285"/>
                  <c:y val="-0.1955480937261536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Szántóföldi növénytermesztéss</a:t>
                    </a:r>
                  </a:p>
                  <a:p>
                    <a:r>
                      <a:rPr lang="en-US"/>
                      <a:t>48,02%</a:t>
                    </a:r>
                  </a:p>
                </c:rich>
              </c:tx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0-22D4-4540-8BE1-6258E218CE48}"/>
                </c:ex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1.1538975019565014E-3"/>
                  <c:y val="2.8789143452604707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Kertészet</a:t>
                    </a:r>
                  </a:p>
                  <a:p>
                    <a:r>
                      <a:rPr lang="en-US"/>
                      <a:t>9,68%</a:t>
                    </a:r>
                  </a:p>
                  <a:p>
                    <a:r>
                      <a:rPr lang="en-US" sz="700" b="1" i="1" baseline="0"/>
                      <a:t>ebből</a:t>
                    </a:r>
                  </a:p>
                  <a:p>
                    <a:r>
                      <a:rPr lang="en-US" baseline="0"/>
                      <a:t>(zöldségtermelés</a:t>
                    </a:r>
                  </a:p>
                  <a:p>
                    <a:r>
                      <a:rPr lang="en-US" baseline="0"/>
                      <a:t>5,19%)</a:t>
                    </a:r>
                    <a:endParaRPr lang="en-US"/>
                  </a:p>
                </c:rich>
              </c:tx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22D4-4540-8BE1-6258E218CE48}"/>
                </c:ex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2.10808021523964E-2"/>
                  <c:y val="-6.973044671814882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Egyéb</a:t>
                    </a:r>
                  </a:p>
                  <a:p>
                    <a:r>
                      <a:rPr lang="en-US"/>
                      <a:t>11,93%</a:t>
                    </a:r>
                  </a:p>
                </c:rich>
              </c:tx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2-22D4-4540-8BE1-6258E218CE48}"/>
                </c:ex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6.0924598453739182E-2"/>
                  <c:y val="-5.7302469775598164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Egyéb állattenyésztés 2,07%</a:t>
                    </a:r>
                  </a:p>
                </c:rich>
              </c:tx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22D4-4540-8BE1-6258E218CE48}"/>
                </c:ex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1.2951666372516067E-2"/>
                  <c:y val="-0.14900435002180989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Baromfi</a:t>
                    </a:r>
                  </a:p>
                  <a:p>
                    <a:r>
                      <a:rPr lang="en-US"/>
                      <a:t>8,58%</a:t>
                    </a:r>
                  </a:p>
                </c:rich>
              </c:tx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4-22D4-4540-8BE1-6258E218CE48}"/>
                </c:ex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0.11190584857576776"/>
                  <c:y val="7.1156311035476399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Sertés</a:t>
                    </a:r>
                  </a:p>
                  <a:p>
                    <a:r>
                      <a:rPr lang="en-US"/>
                      <a:t> 9,34%</a:t>
                    </a:r>
                  </a:p>
                </c:rich>
              </c:tx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5-22D4-4540-8BE1-6258E218CE48}"/>
                </c:ex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-4.0302894554316876E-2"/>
                  <c:y val="6.3285652271429779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Szarvasmarha</a:t>
                    </a:r>
                  </a:p>
                  <a:p>
                    <a:r>
                      <a:rPr lang="en-US"/>
                      <a:t>10,38%</a:t>
                    </a:r>
                  </a:p>
                </c:rich>
              </c:tx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6-22D4-4540-8BE1-6258E218CE48}"/>
                </c:ex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-0.18386114660223424"/>
                  <c:y val="1.1795303356168959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Kiemelt ágazatok</a:t>
                    </a:r>
                  </a:p>
                  <a:p>
                    <a:r>
                      <a:rPr lang="en-US"/>
                      <a:t>28,30%</a:t>
                    </a:r>
                  </a:p>
                </c:rich>
              </c:tx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7-22D4-4540-8BE1-6258E218CE48}"/>
                </c:ex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latin typeface="Times New Roman" panose="02020603050405020304" pitchFamily="18" charset="0"/>
                    <a:cs typeface="Times New Roman" panose="02020603050405020304" pitchFamily="18" charset="0"/>
                  </a:defRPr>
                </a:pPr>
                <a:endParaRPr lang="hu-HU"/>
              </a:p>
            </c:txPr>
            <c:dLblPos val="bestFit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Idősorok_ábrák_Állományi!$DO$11:$DO$17</c:f>
              <c:strCache>
                <c:ptCount val="7"/>
                <c:pt idx="0">
                  <c:v>Szántóföldi növénytermesztés</c:v>
                </c:pt>
                <c:pt idx="1">
                  <c:v>Kertészet</c:v>
                </c:pt>
                <c:pt idx="2">
                  <c:v>Egyéb</c:v>
                </c:pt>
                <c:pt idx="3">
                  <c:v>Egyéb állattenyésztés</c:v>
                </c:pt>
                <c:pt idx="4">
                  <c:v>     baromfi</c:v>
                </c:pt>
                <c:pt idx="5">
                  <c:v>     sertés</c:v>
                </c:pt>
                <c:pt idx="6">
                  <c:v>     szarvasmarha</c:v>
                </c:pt>
              </c:strCache>
            </c:strRef>
          </c:cat>
          <c:val>
            <c:numRef>
              <c:f>Idősorok_ábrák_Állományi!$DP$11:$DP$17</c:f>
              <c:numCache>
                <c:formatCode>0.00</c:formatCode>
                <c:ptCount val="7"/>
                <c:pt idx="0">
                  <c:v>48.017788276779108</c:v>
                </c:pt>
                <c:pt idx="1">
                  <c:v>9.681031445027374</c:v>
                </c:pt>
                <c:pt idx="2">
                  <c:v>11.930840830037729</c:v>
                </c:pt>
                <c:pt idx="3">
                  <c:v>2.0696920324776018</c:v>
                </c:pt>
                <c:pt idx="4">
                  <c:v>8.5777359236508701</c:v>
                </c:pt>
                <c:pt idx="5">
                  <c:v>9.3408097791321705</c:v>
                </c:pt>
                <c:pt idx="6">
                  <c:v>10.381978933513738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8-22D4-4540-8BE1-6258E218CE48}"/>
            </c:ext>
          </c:extLst>
        </c:ser>
        <c:dLbls>
          <c:dLblPos val="bestFit"/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gapWidth val="100"/>
        <c:secondPieSize val="75"/>
        <c:serLines/>
      </c:ofPieChart>
    </c:plotArea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5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hu-H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Idősorok_ábrák_Állományi!$D$310</c:f>
              <c:strCache>
                <c:ptCount val="1"/>
                <c:pt idx="0">
                  <c:v>Mg. hosszú lejáratú forgóeszköz hitelei (milliárd Ft)</c:v>
                </c:pt>
              </c:strCache>
            </c:strRef>
          </c:tx>
          <c:spPr>
            <a:ln>
              <a:solidFill>
                <a:schemeClr val="bg1"/>
              </a:solidFill>
            </a:ln>
          </c:spPr>
          <c:invertIfNegative val="0"/>
          <c:trendline>
            <c:name>Trendvonal - Mezőgazdaság</c:name>
            <c:spPr>
              <a:ln w="25400">
                <a:solidFill>
                  <a:schemeClr val="accent3">
                    <a:lumMod val="75000"/>
                  </a:schemeClr>
                </a:solidFill>
              </a:ln>
            </c:spPr>
            <c:trendlineType val="linear"/>
            <c:dispRSqr val="0"/>
            <c:dispEq val="0"/>
          </c:trendline>
          <c:cat>
            <c:strRef>
              <c:f>Idősorok_ábrák_Állományi!$F$352:$AA$352</c:f>
              <c:strCache>
                <c:ptCount val="22"/>
                <c:pt idx="0">
                  <c:v>2016. I. </c:v>
                </c:pt>
                <c:pt idx="1">
                  <c:v>2016.II.</c:v>
                </c:pt>
                <c:pt idx="2">
                  <c:v>2016.III.</c:v>
                </c:pt>
                <c:pt idx="3">
                  <c:v>2016.IV.</c:v>
                </c:pt>
                <c:pt idx="4">
                  <c:v>2017.I.</c:v>
                </c:pt>
                <c:pt idx="5">
                  <c:v>2017.II.</c:v>
                </c:pt>
                <c:pt idx="6">
                  <c:v>2017.III.</c:v>
                </c:pt>
                <c:pt idx="7">
                  <c:v>2017.IV.</c:v>
                </c:pt>
                <c:pt idx="8">
                  <c:v>2018.I.R</c:v>
                </c:pt>
                <c:pt idx="9">
                  <c:v>2018.I.Ú</c:v>
                </c:pt>
                <c:pt idx="10">
                  <c:v>2018.II.</c:v>
                </c:pt>
                <c:pt idx="11">
                  <c:v>2018.III.</c:v>
                </c:pt>
                <c:pt idx="12">
                  <c:v>2018.IV.</c:v>
                </c:pt>
                <c:pt idx="13">
                  <c:v>2019.I.</c:v>
                </c:pt>
                <c:pt idx="14">
                  <c:v>2019.II.</c:v>
                </c:pt>
                <c:pt idx="15">
                  <c:v>2019.III.</c:v>
                </c:pt>
                <c:pt idx="16">
                  <c:v>2019.IV.</c:v>
                </c:pt>
                <c:pt idx="17">
                  <c:v>2020.I.</c:v>
                </c:pt>
                <c:pt idx="18">
                  <c:v>2020.II.</c:v>
                </c:pt>
                <c:pt idx="19">
                  <c:v>2020.III.</c:v>
                </c:pt>
                <c:pt idx="20">
                  <c:v>2020.IV.</c:v>
                </c:pt>
                <c:pt idx="21">
                  <c:v>2021.I.</c:v>
                </c:pt>
              </c:strCache>
            </c:strRef>
          </c:cat>
          <c:val>
            <c:numRef>
              <c:f>Idősorok_ábrák_Állományi!$E$305:$Z$305</c:f>
              <c:numCache>
                <c:formatCode>#,##0</c:formatCode>
                <c:ptCount val="22"/>
                <c:pt idx="0">
                  <c:v>183218</c:v>
                </c:pt>
                <c:pt idx="1">
                  <c:v>184360</c:v>
                </c:pt>
                <c:pt idx="2">
                  <c:v>205315</c:v>
                </c:pt>
                <c:pt idx="3">
                  <c:v>292403</c:v>
                </c:pt>
                <c:pt idx="4">
                  <c:v>319031</c:v>
                </c:pt>
                <c:pt idx="5">
                  <c:v>330064</c:v>
                </c:pt>
                <c:pt idx="6">
                  <c:v>336812</c:v>
                </c:pt>
                <c:pt idx="7">
                  <c:v>324162</c:v>
                </c:pt>
                <c:pt idx="8">
                  <c:v>310380</c:v>
                </c:pt>
                <c:pt idx="9">
                  <c:v>349121</c:v>
                </c:pt>
                <c:pt idx="10">
                  <c:v>359335</c:v>
                </c:pt>
                <c:pt idx="11">
                  <c:v>361384</c:v>
                </c:pt>
                <c:pt idx="12">
                  <c:v>305908</c:v>
                </c:pt>
                <c:pt idx="13">
                  <c:v>370498</c:v>
                </c:pt>
                <c:pt idx="14">
                  <c:v>393784</c:v>
                </c:pt>
                <c:pt idx="15">
                  <c:v>415155</c:v>
                </c:pt>
                <c:pt idx="16">
                  <c:v>406421</c:v>
                </c:pt>
                <c:pt idx="17">
                  <c:v>412445</c:v>
                </c:pt>
                <c:pt idx="18">
                  <c:v>437432</c:v>
                </c:pt>
                <c:pt idx="19">
                  <c:v>443776</c:v>
                </c:pt>
                <c:pt idx="20">
                  <c:v>459351</c:v>
                </c:pt>
                <c:pt idx="21">
                  <c:v>458781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3280-4E85-87EE-1CEB58D88971}"/>
            </c:ext>
          </c:extLst>
        </c:ser>
        <c:ser>
          <c:idx val="1"/>
          <c:order val="1"/>
          <c:tx>
            <c:strRef>
              <c:f>Idősorok_ábrák_Állományi!$E$354</c:f>
              <c:strCache>
                <c:ptCount val="1"/>
                <c:pt idx="0">
                  <c:v>Élip hosszú lejáratú forgóeszköz hitelei (milliárd Ft)</c:v>
                </c:pt>
              </c:strCache>
            </c:strRef>
          </c:tx>
          <c:invertIfNegative val="0"/>
          <c:trendline>
            <c:name>Trendvonal - Élelmiszeripar</c:name>
            <c:spPr>
              <a:ln w="25400">
                <a:solidFill>
                  <a:schemeClr val="accent6">
                    <a:lumMod val="75000"/>
                  </a:schemeClr>
                </a:solidFill>
              </a:ln>
            </c:spPr>
            <c:trendlineType val="linear"/>
            <c:dispRSqr val="0"/>
            <c:dispEq val="0"/>
          </c:trendline>
          <c:cat>
            <c:strRef>
              <c:f>Idősorok_ábrák_Állományi!$F$352:$AA$352</c:f>
              <c:strCache>
                <c:ptCount val="22"/>
                <c:pt idx="0">
                  <c:v>2016. I. </c:v>
                </c:pt>
                <c:pt idx="1">
                  <c:v>2016.II.</c:v>
                </c:pt>
                <c:pt idx="2">
                  <c:v>2016.III.</c:v>
                </c:pt>
                <c:pt idx="3">
                  <c:v>2016.IV.</c:v>
                </c:pt>
                <c:pt idx="4">
                  <c:v>2017.I.</c:v>
                </c:pt>
                <c:pt idx="5">
                  <c:v>2017.II.</c:v>
                </c:pt>
                <c:pt idx="6">
                  <c:v>2017.III.</c:v>
                </c:pt>
                <c:pt idx="7">
                  <c:v>2017.IV.</c:v>
                </c:pt>
                <c:pt idx="8">
                  <c:v>2018.I.R</c:v>
                </c:pt>
                <c:pt idx="9">
                  <c:v>2018.I.Ú</c:v>
                </c:pt>
                <c:pt idx="10">
                  <c:v>2018.II.</c:v>
                </c:pt>
                <c:pt idx="11">
                  <c:v>2018.III.</c:v>
                </c:pt>
                <c:pt idx="12">
                  <c:v>2018.IV.</c:v>
                </c:pt>
                <c:pt idx="13">
                  <c:v>2019.I.</c:v>
                </c:pt>
                <c:pt idx="14">
                  <c:v>2019.II.</c:v>
                </c:pt>
                <c:pt idx="15">
                  <c:v>2019.III.</c:v>
                </c:pt>
                <c:pt idx="16">
                  <c:v>2019.IV.</c:v>
                </c:pt>
                <c:pt idx="17">
                  <c:v>2020.I.</c:v>
                </c:pt>
                <c:pt idx="18">
                  <c:v>2020.II.</c:v>
                </c:pt>
                <c:pt idx="19">
                  <c:v>2020.III.</c:v>
                </c:pt>
                <c:pt idx="20">
                  <c:v>2020.IV.</c:v>
                </c:pt>
                <c:pt idx="21">
                  <c:v>2021.I.</c:v>
                </c:pt>
              </c:strCache>
            </c:strRef>
          </c:cat>
          <c:val>
            <c:numRef>
              <c:f>Idősorok_ábrák_Állományi!$F$354:$AA$354</c:f>
              <c:numCache>
                <c:formatCode>#,##0</c:formatCode>
                <c:ptCount val="22"/>
                <c:pt idx="0">
                  <c:v>78315</c:v>
                </c:pt>
                <c:pt idx="1">
                  <c:v>80625</c:v>
                </c:pt>
                <c:pt idx="2">
                  <c:v>79565</c:v>
                </c:pt>
                <c:pt idx="3">
                  <c:v>83696</c:v>
                </c:pt>
                <c:pt idx="4">
                  <c:v>80838</c:v>
                </c:pt>
                <c:pt idx="5">
                  <c:v>76409</c:v>
                </c:pt>
                <c:pt idx="6">
                  <c:v>75669</c:v>
                </c:pt>
                <c:pt idx="7">
                  <c:v>72860</c:v>
                </c:pt>
                <c:pt idx="8">
                  <c:v>75357</c:v>
                </c:pt>
                <c:pt idx="9">
                  <c:v>75357</c:v>
                </c:pt>
                <c:pt idx="10">
                  <c:v>91286</c:v>
                </c:pt>
                <c:pt idx="11">
                  <c:v>91955</c:v>
                </c:pt>
                <c:pt idx="12">
                  <c:v>91882</c:v>
                </c:pt>
                <c:pt idx="13">
                  <c:v>90536</c:v>
                </c:pt>
                <c:pt idx="14">
                  <c:v>89666</c:v>
                </c:pt>
                <c:pt idx="15">
                  <c:v>100714</c:v>
                </c:pt>
                <c:pt idx="16">
                  <c:v>110818</c:v>
                </c:pt>
                <c:pt idx="17">
                  <c:v>122977</c:v>
                </c:pt>
                <c:pt idx="18">
                  <c:v>117363</c:v>
                </c:pt>
                <c:pt idx="19">
                  <c:v>159984</c:v>
                </c:pt>
                <c:pt idx="20">
                  <c:v>175128</c:v>
                </c:pt>
                <c:pt idx="21">
                  <c:v>178358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3280-4E85-87EE-1CEB58D8897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72185376"/>
        <c:axId val="572175576"/>
      </c:barChart>
      <c:catAx>
        <c:axId val="57218537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572175576"/>
        <c:crosses val="autoZero"/>
        <c:auto val="1"/>
        <c:lblAlgn val="ctr"/>
        <c:lblOffset val="100"/>
        <c:noMultiLvlLbl val="0"/>
      </c:catAx>
      <c:valAx>
        <c:axId val="572175576"/>
        <c:scaling>
          <c:orientation val="minMax"/>
        </c:scaling>
        <c:delete val="0"/>
        <c:axPos val="l"/>
        <c:majorGridlines/>
        <c:numFmt formatCode="#,##0" sourceLinked="1"/>
        <c:majorTickMark val="out"/>
        <c:minorTickMark val="none"/>
        <c:tickLblPos val="nextTo"/>
        <c:crossAx val="572185376"/>
        <c:crosses val="autoZero"/>
        <c:crossBetween val="between"/>
      </c:valAx>
    </c:plotArea>
    <c:legend>
      <c:legendPos val="b"/>
      <c:overlay val="0"/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700">
          <a:latin typeface="Times New Roman" panose="02020603050405020304" pitchFamily="18" charset="0"/>
          <a:cs typeface="Times New Roman" panose="02020603050405020304" pitchFamily="18" charset="0"/>
        </a:defRPr>
      </a:pPr>
      <a:endParaRPr lang="hu-HU"/>
    </a:p>
  </c:txPr>
  <c:printSettings>
    <c:headerFooter/>
    <c:pageMargins b="0.75" l="0.7" r="0.7" t="0.75" header="0.3" footer="0.3"/>
    <c:pageSetup/>
  </c:printSettings>
</c:chartSpace>
</file>

<file path=xl/charts/chart5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hu-H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Idősorok_ábrák_Állományi!$D$311</c:f>
              <c:strCache>
                <c:ptCount val="1"/>
                <c:pt idx="0">
                  <c:v>Mezőgazdasági forint folyószámla-, és egyéb éven belüli hitelek változása (%)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ymbol val="none"/>
          </c:marker>
          <c:trendline>
            <c:spPr>
              <a:ln w="25400">
                <a:solidFill>
                  <a:srgbClr val="3399FF"/>
                </a:solidFill>
              </a:ln>
            </c:spPr>
            <c:trendlineType val="linear"/>
            <c:dispRSqr val="0"/>
            <c:dispEq val="0"/>
          </c:trendline>
          <c:trendline>
            <c:name>Trendvonal</c:name>
            <c:spPr>
              <a:ln w="25400">
                <a:solidFill>
                  <a:srgbClr val="3399FF"/>
                </a:solidFill>
              </a:ln>
            </c:spPr>
            <c:trendlineType val="linear"/>
            <c:dispRSqr val="0"/>
            <c:dispEq val="0"/>
          </c:trendline>
          <c:cat>
            <c:strRef>
              <c:f>Idősorok_ábrák_Állományi!$F$312:$X$312</c:f>
              <c:strCache>
                <c:ptCount val="19"/>
                <c:pt idx="0">
                  <c:v>2016.II.</c:v>
                </c:pt>
                <c:pt idx="1">
                  <c:v>2016.III.</c:v>
                </c:pt>
                <c:pt idx="2">
                  <c:v>2016.IV.</c:v>
                </c:pt>
                <c:pt idx="3">
                  <c:v>2017.I.</c:v>
                </c:pt>
                <c:pt idx="4">
                  <c:v>2017.II.</c:v>
                </c:pt>
                <c:pt idx="5">
                  <c:v>2017.III.</c:v>
                </c:pt>
                <c:pt idx="6">
                  <c:v>2017.IV.</c:v>
                </c:pt>
                <c:pt idx="7">
                  <c:v>2018.I.R</c:v>
                </c:pt>
                <c:pt idx="8">
                  <c:v>2018.I.Ú</c:v>
                </c:pt>
                <c:pt idx="9">
                  <c:v>2018.II.</c:v>
                </c:pt>
                <c:pt idx="10">
                  <c:v>2018.III.</c:v>
                </c:pt>
                <c:pt idx="11">
                  <c:v>2018.IV.</c:v>
                </c:pt>
                <c:pt idx="12">
                  <c:v>2019.I.</c:v>
                </c:pt>
                <c:pt idx="13">
                  <c:v>2019.II.</c:v>
                </c:pt>
                <c:pt idx="14">
                  <c:v>2019.III.</c:v>
                </c:pt>
                <c:pt idx="15">
                  <c:v>2019.IV.</c:v>
                </c:pt>
                <c:pt idx="16">
                  <c:v>2020.I.</c:v>
                </c:pt>
                <c:pt idx="17">
                  <c:v>2020.II.</c:v>
                </c:pt>
                <c:pt idx="18">
                  <c:v>2020.III.</c:v>
                </c:pt>
              </c:strCache>
            </c:strRef>
          </c:cat>
          <c:val>
            <c:numRef>
              <c:f>Idősorok_ábrák_Állományi!$F$311:$X$311</c:f>
              <c:numCache>
                <c:formatCode>#,##0.00</c:formatCode>
                <c:ptCount val="19"/>
                <c:pt idx="0">
                  <c:v>2.8665376877445254</c:v>
                </c:pt>
                <c:pt idx="1">
                  <c:v>15.092186819647793</c:v>
                </c:pt>
                <c:pt idx="2">
                  <c:v>-22.690072432224227</c:v>
                </c:pt>
                <c:pt idx="3">
                  <c:v>15.102543462124899</c:v>
                </c:pt>
                <c:pt idx="4">
                  <c:v>0.12647899071436086</c:v>
                </c:pt>
                <c:pt idx="5">
                  <c:v>23.378158191254371</c:v>
                </c:pt>
                <c:pt idx="6">
                  <c:v>-2.7697372563869891</c:v>
                </c:pt>
                <c:pt idx="7">
                  <c:v>-18.635830605811378</c:v>
                </c:pt>
                <c:pt idx="8">
                  <c:v>1.2181247830241659E-2</c:v>
                </c:pt>
                <c:pt idx="9">
                  <c:v>6.9037183365228287</c:v>
                </c:pt>
                <c:pt idx="10">
                  <c:v>17.198567908838939</c:v>
                </c:pt>
                <c:pt idx="11">
                  <c:v>10.461182189958436</c:v>
                </c:pt>
                <c:pt idx="12">
                  <c:v>-2.0511028673808482</c:v>
                </c:pt>
                <c:pt idx="13">
                  <c:v>1.8367563793129591</c:v>
                </c:pt>
                <c:pt idx="14">
                  <c:v>4.0253700418859069</c:v>
                </c:pt>
                <c:pt idx="15">
                  <c:v>5.9265627798674529</c:v>
                </c:pt>
                <c:pt idx="16">
                  <c:v>-3.3676706324781662</c:v>
                </c:pt>
                <c:pt idx="17">
                  <c:v>15.764201920654017</c:v>
                </c:pt>
                <c:pt idx="18">
                  <c:v>6.0626398210290802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E887-44AF-810B-EBC3453C5AF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72181848"/>
        <c:axId val="572185768"/>
      </c:lineChart>
      <c:catAx>
        <c:axId val="572181848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572185768"/>
        <c:crosses val="autoZero"/>
        <c:auto val="1"/>
        <c:lblAlgn val="ctr"/>
        <c:lblOffset val="100"/>
        <c:noMultiLvlLbl val="0"/>
      </c:catAx>
      <c:valAx>
        <c:axId val="572185768"/>
        <c:scaling>
          <c:orientation val="minMax"/>
        </c:scaling>
        <c:delete val="0"/>
        <c:axPos val="l"/>
        <c:majorGridlines/>
        <c:numFmt formatCode="#,##0.00" sourceLinked="1"/>
        <c:majorTickMark val="out"/>
        <c:minorTickMark val="none"/>
        <c:tickLblPos val="nextTo"/>
        <c:crossAx val="572181848"/>
        <c:crosses val="autoZero"/>
        <c:crossBetween val="between"/>
      </c:valAx>
    </c:plotArea>
    <c:legend>
      <c:legendPos val="b"/>
      <c:legendEntry>
        <c:idx val="1"/>
        <c:delete val="1"/>
      </c:legendEntry>
      <c:overlay val="0"/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700">
          <a:latin typeface="Times New Roman" panose="02020603050405020304" pitchFamily="18" charset="0"/>
          <a:cs typeface="Times New Roman" panose="02020603050405020304" pitchFamily="18" charset="0"/>
        </a:defRPr>
      </a:pPr>
      <a:endParaRPr lang="hu-HU"/>
    </a:p>
  </c:txPr>
  <c:printSettings>
    <c:headerFooter/>
    <c:pageMargins b="0.75" l="0.7" r="0.7" t="0.75" header="0.3" footer="0.3"/>
    <c:pageSetup/>
  </c:printSettings>
</c:chartSpace>
</file>

<file path=xl/charts/chart5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hu-H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Idősorok_ábrák_Állományi!$D$315</c:f>
              <c:strCache>
                <c:ptCount val="1"/>
                <c:pt idx="0">
                  <c:v>Mg. forint folyószámla-, és egyéb éven belüli hitelei (milliárd Ft)</c:v>
                </c:pt>
              </c:strCache>
            </c:strRef>
          </c:tx>
          <c:invertIfNegative val="0"/>
          <c:trendline>
            <c:name>Trendvonal - mezőgazdaság</c:name>
            <c:spPr>
              <a:ln w="25400">
                <a:solidFill>
                  <a:schemeClr val="accent3">
                    <a:lumMod val="75000"/>
                  </a:schemeClr>
                </a:solidFill>
              </a:ln>
            </c:spPr>
            <c:trendlineType val="linear"/>
            <c:dispRSqr val="0"/>
            <c:dispEq val="0"/>
          </c:trendline>
          <c:cat>
            <c:strRef>
              <c:f>Idősorok_ábrák_Állományi!$F$352:$AA$352</c:f>
              <c:strCache>
                <c:ptCount val="22"/>
                <c:pt idx="0">
                  <c:v>2016. I. </c:v>
                </c:pt>
                <c:pt idx="1">
                  <c:v>2016.II.</c:v>
                </c:pt>
                <c:pt idx="2">
                  <c:v>2016.III.</c:v>
                </c:pt>
                <c:pt idx="3">
                  <c:v>2016.IV.</c:v>
                </c:pt>
                <c:pt idx="4">
                  <c:v>2017.I.</c:v>
                </c:pt>
                <c:pt idx="5">
                  <c:v>2017.II.</c:v>
                </c:pt>
                <c:pt idx="6">
                  <c:v>2017.III.</c:v>
                </c:pt>
                <c:pt idx="7">
                  <c:v>2017.IV.</c:v>
                </c:pt>
                <c:pt idx="8">
                  <c:v>2018.I.R</c:v>
                </c:pt>
                <c:pt idx="9">
                  <c:v>2018.I.Ú</c:v>
                </c:pt>
                <c:pt idx="10">
                  <c:v>2018.II.</c:v>
                </c:pt>
                <c:pt idx="11">
                  <c:v>2018.III.</c:v>
                </c:pt>
                <c:pt idx="12">
                  <c:v>2018.IV.</c:v>
                </c:pt>
                <c:pt idx="13">
                  <c:v>2019.I.</c:v>
                </c:pt>
                <c:pt idx="14">
                  <c:v>2019.II.</c:v>
                </c:pt>
                <c:pt idx="15">
                  <c:v>2019.III.</c:v>
                </c:pt>
                <c:pt idx="16">
                  <c:v>2019.IV.</c:v>
                </c:pt>
                <c:pt idx="17">
                  <c:v>2020.I.</c:v>
                </c:pt>
                <c:pt idx="18">
                  <c:v>2020.II.</c:v>
                </c:pt>
                <c:pt idx="19">
                  <c:v>2020.III.</c:v>
                </c:pt>
                <c:pt idx="20">
                  <c:v>2020.IV.</c:v>
                </c:pt>
                <c:pt idx="21">
                  <c:v>2021.I.</c:v>
                </c:pt>
              </c:strCache>
            </c:strRef>
          </c:cat>
          <c:val>
            <c:numRef>
              <c:f>Idősorok_ábrák_Állományi!$E$315:$Z$315</c:f>
              <c:numCache>
                <c:formatCode>#,##0</c:formatCode>
                <c:ptCount val="22"/>
                <c:pt idx="0">
                  <c:v>94389.682143999991</c:v>
                </c:pt>
                <c:pt idx="1">
                  <c:v>97095.397956000001</c:v>
                </c:pt>
                <c:pt idx="2">
                  <c:v>111749.2168088</c:v>
                </c:pt>
                <c:pt idx="3">
                  <c:v>86393.238572439994</c:v>
                </c:pt>
                <c:pt idx="4">
                  <c:v>99440.814976180001</c:v>
                </c:pt>
                <c:pt idx="5">
                  <c:v>99566.586715320009</c:v>
                </c:pt>
                <c:pt idx="6">
                  <c:v>122843.42086325999</c:v>
                </c:pt>
                <c:pt idx="7">
                  <c:v>119440.98086859001</c:v>
                </c:pt>
                <c:pt idx="8">
                  <c:v>97182.161999999997</c:v>
                </c:pt>
                <c:pt idx="9">
                  <c:v>97194</c:v>
                </c:pt>
                <c:pt idx="10">
                  <c:v>103904</c:v>
                </c:pt>
                <c:pt idx="11">
                  <c:v>121774</c:v>
                </c:pt>
                <c:pt idx="12">
                  <c:v>134513</c:v>
                </c:pt>
                <c:pt idx="13">
                  <c:v>131754</c:v>
                </c:pt>
                <c:pt idx="14">
                  <c:v>134174</c:v>
                </c:pt>
                <c:pt idx="15">
                  <c:v>139575</c:v>
                </c:pt>
                <c:pt idx="16">
                  <c:v>147847</c:v>
                </c:pt>
                <c:pt idx="17">
                  <c:v>142868</c:v>
                </c:pt>
                <c:pt idx="18">
                  <c:v>165390</c:v>
                </c:pt>
                <c:pt idx="19">
                  <c:v>175417</c:v>
                </c:pt>
                <c:pt idx="20">
                  <c:v>158423</c:v>
                </c:pt>
                <c:pt idx="21">
                  <c:v>151648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1621-4C8F-A79D-885CF3E887B0}"/>
            </c:ext>
          </c:extLst>
        </c:ser>
        <c:ser>
          <c:idx val="1"/>
          <c:order val="1"/>
          <c:tx>
            <c:strRef>
              <c:f>Idősorok_ábrák_Állományi!$E$355</c:f>
              <c:strCache>
                <c:ptCount val="1"/>
                <c:pt idx="0">
                  <c:v>Élip forint folyószámla-, és egyéb éven belüli hitelei (milliárd Ft)</c:v>
                </c:pt>
              </c:strCache>
            </c:strRef>
          </c:tx>
          <c:invertIfNegative val="0"/>
          <c:trendline>
            <c:name>Trendvonal - élelmiszeripar</c:name>
            <c:spPr>
              <a:ln w="25400">
                <a:solidFill>
                  <a:schemeClr val="accent6">
                    <a:lumMod val="75000"/>
                  </a:schemeClr>
                </a:solidFill>
              </a:ln>
            </c:spPr>
            <c:trendlineType val="linear"/>
            <c:dispRSqr val="0"/>
            <c:dispEq val="0"/>
          </c:trendline>
          <c:cat>
            <c:strRef>
              <c:f>Idősorok_ábrák_Állományi!$F$352:$AA$352</c:f>
              <c:strCache>
                <c:ptCount val="22"/>
                <c:pt idx="0">
                  <c:v>2016. I. </c:v>
                </c:pt>
                <c:pt idx="1">
                  <c:v>2016.II.</c:v>
                </c:pt>
                <c:pt idx="2">
                  <c:v>2016.III.</c:v>
                </c:pt>
                <c:pt idx="3">
                  <c:v>2016.IV.</c:v>
                </c:pt>
                <c:pt idx="4">
                  <c:v>2017.I.</c:v>
                </c:pt>
                <c:pt idx="5">
                  <c:v>2017.II.</c:v>
                </c:pt>
                <c:pt idx="6">
                  <c:v>2017.III.</c:v>
                </c:pt>
                <c:pt idx="7">
                  <c:v>2017.IV.</c:v>
                </c:pt>
                <c:pt idx="8">
                  <c:v>2018.I.R</c:v>
                </c:pt>
                <c:pt idx="9">
                  <c:v>2018.I.Ú</c:v>
                </c:pt>
                <c:pt idx="10">
                  <c:v>2018.II.</c:v>
                </c:pt>
                <c:pt idx="11">
                  <c:v>2018.III.</c:v>
                </c:pt>
                <c:pt idx="12">
                  <c:v>2018.IV.</c:v>
                </c:pt>
                <c:pt idx="13">
                  <c:v>2019.I.</c:v>
                </c:pt>
                <c:pt idx="14">
                  <c:v>2019.II.</c:v>
                </c:pt>
                <c:pt idx="15">
                  <c:v>2019.III.</c:v>
                </c:pt>
                <c:pt idx="16">
                  <c:v>2019.IV.</c:v>
                </c:pt>
                <c:pt idx="17">
                  <c:v>2020.I.</c:v>
                </c:pt>
                <c:pt idx="18">
                  <c:v>2020.II.</c:v>
                </c:pt>
                <c:pt idx="19">
                  <c:v>2020.III.</c:v>
                </c:pt>
                <c:pt idx="20">
                  <c:v>2020.IV.</c:v>
                </c:pt>
                <c:pt idx="21">
                  <c:v>2021.I.</c:v>
                </c:pt>
              </c:strCache>
            </c:strRef>
          </c:cat>
          <c:val>
            <c:numRef>
              <c:f>Idősorok_ábrák_Állományi!$F$355:$AA$355</c:f>
              <c:numCache>
                <c:formatCode>#,##0</c:formatCode>
                <c:ptCount val="22"/>
                <c:pt idx="0">
                  <c:v>129608.12856369</c:v>
                </c:pt>
                <c:pt idx="1">
                  <c:v>122796.130193</c:v>
                </c:pt>
                <c:pt idx="2">
                  <c:v>145811.77002600001</c:v>
                </c:pt>
                <c:pt idx="3">
                  <c:v>148581.69625214199</c:v>
                </c:pt>
                <c:pt idx="4">
                  <c:v>120610.24163372999</c:v>
                </c:pt>
                <c:pt idx="5">
                  <c:v>110234.38432738421</c:v>
                </c:pt>
                <c:pt idx="6">
                  <c:v>144658.40804518489</c:v>
                </c:pt>
                <c:pt idx="7">
                  <c:v>163790.01399039</c:v>
                </c:pt>
                <c:pt idx="8">
                  <c:v>147496.41200000001</c:v>
                </c:pt>
                <c:pt idx="9">
                  <c:v>147496</c:v>
                </c:pt>
                <c:pt idx="10">
                  <c:v>124739</c:v>
                </c:pt>
                <c:pt idx="11">
                  <c:v>154319</c:v>
                </c:pt>
                <c:pt idx="12">
                  <c:v>176599</c:v>
                </c:pt>
                <c:pt idx="13">
                  <c:v>164102</c:v>
                </c:pt>
                <c:pt idx="14">
                  <c:v>152320</c:v>
                </c:pt>
                <c:pt idx="15">
                  <c:v>166105</c:v>
                </c:pt>
                <c:pt idx="16">
                  <c:v>171053</c:v>
                </c:pt>
                <c:pt idx="17">
                  <c:v>174049</c:v>
                </c:pt>
                <c:pt idx="18">
                  <c:v>148143</c:v>
                </c:pt>
                <c:pt idx="19">
                  <c:v>159040</c:v>
                </c:pt>
                <c:pt idx="20">
                  <c:v>153572</c:v>
                </c:pt>
                <c:pt idx="21">
                  <c:v>152637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1621-4C8F-A79D-885CF3E887B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72179888"/>
        <c:axId val="572177144"/>
      </c:barChart>
      <c:catAx>
        <c:axId val="572179888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572177144"/>
        <c:crosses val="autoZero"/>
        <c:auto val="1"/>
        <c:lblAlgn val="ctr"/>
        <c:lblOffset val="100"/>
        <c:noMultiLvlLbl val="0"/>
      </c:catAx>
      <c:valAx>
        <c:axId val="572177144"/>
        <c:scaling>
          <c:orientation val="minMax"/>
        </c:scaling>
        <c:delete val="0"/>
        <c:axPos val="l"/>
        <c:majorGridlines/>
        <c:numFmt formatCode="#,##0" sourceLinked="1"/>
        <c:majorTickMark val="out"/>
        <c:minorTickMark val="none"/>
        <c:tickLblPos val="nextTo"/>
        <c:crossAx val="572179888"/>
        <c:crosses val="autoZero"/>
        <c:crossBetween val="between"/>
      </c:valAx>
    </c:plotArea>
    <c:legend>
      <c:legendPos val="b"/>
      <c:overlay val="0"/>
    </c:legend>
    <c:plotVisOnly val="1"/>
    <c:dispBlanksAs val="gap"/>
    <c:showDLblsOverMax val="0"/>
  </c:chart>
  <c:spPr>
    <a:ln>
      <a:noFill/>
    </a:ln>
  </c:spPr>
  <c:txPr>
    <a:bodyPr/>
    <a:lstStyle/>
    <a:p>
      <a:pPr>
        <a:defRPr>
          <a:latin typeface="Times New Roman" panose="02020603050405020304" pitchFamily="18" charset="0"/>
          <a:cs typeface="Times New Roman" panose="02020603050405020304" pitchFamily="18" charset="0"/>
        </a:defRPr>
      </a:pPr>
      <a:endParaRPr lang="hu-HU"/>
    </a:p>
  </c:txPr>
  <c:printSettings>
    <c:headerFooter/>
    <c:pageMargins b="0.75" l="0.7" r="0.7" t="0.75" header="0.3" footer="0.3"/>
    <c:pageSetup/>
  </c:printSettings>
</c:chartSpace>
</file>

<file path=xl/charts/chart5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hu-H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2.3426270625738481E-2"/>
          <c:y val="1.0787022595017006E-2"/>
          <c:w val="0.9759102199674744"/>
          <c:h val="0.8736615922290336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Idősorok_ábrák_Állományi!$E$353</c:f>
              <c:strCache>
                <c:ptCount val="1"/>
                <c:pt idx="0">
                  <c:v>Élip beruházási hitelei (milliárd Ft)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 sz="850" b="1">
                    <a:latin typeface="Times New Roman" panose="02020603050405020304" pitchFamily="18" charset="0"/>
                    <a:cs typeface="Times New Roman" panose="02020603050405020304" pitchFamily="18" charset="0"/>
                  </a:defRPr>
                </a:pPr>
                <a:endParaRPr lang="hu-H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trendline>
            <c:name>Trendvonal - Élip beruházási hitelek</c:name>
            <c:spPr>
              <a:ln w="25400">
                <a:solidFill>
                  <a:srgbClr val="4F81BD"/>
                </a:solidFill>
              </a:ln>
            </c:spPr>
            <c:trendlineType val="linear"/>
            <c:dispRSqr val="0"/>
            <c:dispEq val="0"/>
          </c:trendline>
          <c:cat>
            <c:strRef>
              <c:f>Idősorok_ábrák_Állományi!$F$359:$AA$359</c:f>
              <c:strCache>
                <c:ptCount val="22"/>
                <c:pt idx="0">
                  <c:v>2016. I. </c:v>
                </c:pt>
                <c:pt idx="1">
                  <c:v>2016.II.</c:v>
                </c:pt>
                <c:pt idx="2">
                  <c:v>2016.III.</c:v>
                </c:pt>
                <c:pt idx="3">
                  <c:v>2016.IV.</c:v>
                </c:pt>
                <c:pt idx="4">
                  <c:v>2017.I.</c:v>
                </c:pt>
                <c:pt idx="5">
                  <c:v>2017.II.</c:v>
                </c:pt>
                <c:pt idx="6">
                  <c:v>2017.III.</c:v>
                </c:pt>
                <c:pt idx="7">
                  <c:v>2017.IV.</c:v>
                </c:pt>
                <c:pt idx="8">
                  <c:v>2018.I.R</c:v>
                </c:pt>
                <c:pt idx="9">
                  <c:v>2018.I.Ú</c:v>
                </c:pt>
                <c:pt idx="10">
                  <c:v>2018.II.</c:v>
                </c:pt>
                <c:pt idx="11">
                  <c:v>2018.III.</c:v>
                </c:pt>
                <c:pt idx="12">
                  <c:v>2018.IV.</c:v>
                </c:pt>
                <c:pt idx="13">
                  <c:v>2019.I.</c:v>
                </c:pt>
                <c:pt idx="14">
                  <c:v>2019.II.</c:v>
                </c:pt>
                <c:pt idx="15">
                  <c:v>2019.III.</c:v>
                </c:pt>
                <c:pt idx="16">
                  <c:v>2019.IV.</c:v>
                </c:pt>
                <c:pt idx="17">
                  <c:v>2020.I.</c:v>
                </c:pt>
                <c:pt idx="18">
                  <c:v>2020.II.</c:v>
                </c:pt>
                <c:pt idx="19">
                  <c:v>2020.III.</c:v>
                </c:pt>
                <c:pt idx="20">
                  <c:v>2020.IV.</c:v>
                </c:pt>
                <c:pt idx="21">
                  <c:v>2021.I.</c:v>
                </c:pt>
              </c:strCache>
            </c:strRef>
          </c:cat>
          <c:val>
            <c:numRef>
              <c:f>Idősorok_ábrák_Állományi!$F$353:$AA$353</c:f>
              <c:numCache>
                <c:formatCode>#,##0</c:formatCode>
                <c:ptCount val="22"/>
                <c:pt idx="0">
                  <c:v>107572</c:v>
                </c:pt>
                <c:pt idx="1">
                  <c:v>118368</c:v>
                </c:pt>
                <c:pt idx="2">
                  <c:v>122591</c:v>
                </c:pt>
                <c:pt idx="3">
                  <c:v>135021</c:v>
                </c:pt>
                <c:pt idx="4">
                  <c:v>136417</c:v>
                </c:pt>
                <c:pt idx="5">
                  <c:v>143792</c:v>
                </c:pt>
                <c:pt idx="6">
                  <c:v>160194</c:v>
                </c:pt>
                <c:pt idx="7">
                  <c:v>171755</c:v>
                </c:pt>
                <c:pt idx="8">
                  <c:v>158617</c:v>
                </c:pt>
                <c:pt idx="9">
                  <c:v>161648</c:v>
                </c:pt>
                <c:pt idx="10">
                  <c:v>172740</c:v>
                </c:pt>
                <c:pt idx="11">
                  <c:v>186710</c:v>
                </c:pt>
                <c:pt idx="12">
                  <c:v>181505</c:v>
                </c:pt>
                <c:pt idx="13">
                  <c:v>203140</c:v>
                </c:pt>
                <c:pt idx="14">
                  <c:v>206958</c:v>
                </c:pt>
                <c:pt idx="15">
                  <c:v>211417</c:v>
                </c:pt>
                <c:pt idx="16">
                  <c:v>187758</c:v>
                </c:pt>
                <c:pt idx="17">
                  <c:v>191274</c:v>
                </c:pt>
                <c:pt idx="18">
                  <c:v>189017</c:v>
                </c:pt>
                <c:pt idx="19">
                  <c:v>198874</c:v>
                </c:pt>
                <c:pt idx="20">
                  <c:v>203193</c:v>
                </c:pt>
                <c:pt idx="21">
                  <c:v>193567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B719-4051-823A-D671A7184939}"/>
            </c:ext>
          </c:extLst>
        </c:ser>
        <c:ser>
          <c:idx val="1"/>
          <c:order val="1"/>
          <c:tx>
            <c:strRef>
              <c:f>Idősorok_ábrák_Állományi!$E$354</c:f>
              <c:strCache>
                <c:ptCount val="1"/>
                <c:pt idx="0">
                  <c:v>Élip hosszú lejáratú forgóeszköz hitelei (milliárd Ft)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 sz="800" b="1">
                    <a:latin typeface="Times New Roman" panose="02020603050405020304" pitchFamily="18" charset="0"/>
                    <a:cs typeface="Times New Roman" panose="02020603050405020304" pitchFamily="18" charset="0"/>
                  </a:defRPr>
                </a:pPr>
                <a:endParaRPr lang="hu-H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trendline>
            <c:name>Trendvonal - Élip hosszú lejáratú forgóeszköz hitelek</c:name>
            <c:spPr>
              <a:ln w="25400">
                <a:solidFill>
                  <a:srgbClr val="C0504D"/>
                </a:solidFill>
              </a:ln>
            </c:spPr>
            <c:trendlineType val="linear"/>
            <c:dispRSqr val="0"/>
            <c:dispEq val="0"/>
          </c:trendline>
          <c:cat>
            <c:strRef>
              <c:f>Idősorok_ábrák_Állományi!$F$359:$AA$359</c:f>
              <c:strCache>
                <c:ptCount val="22"/>
                <c:pt idx="0">
                  <c:v>2016. I. </c:v>
                </c:pt>
                <c:pt idx="1">
                  <c:v>2016.II.</c:v>
                </c:pt>
                <c:pt idx="2">
                  <c:v>2016.III.</c:v>
                </c:pt>
                <c:pt idx="3">
                  <c:v>2016.IV.</c:v>
                </c:pt>
                <c:pt idx="4">
                  <c:v>2017.I.</c:v>
                </c:pt>
                <c:pt idx="5">
                  <c:v>2017.II.</c:v>
                </c:pt>
                <c:pt idx="6">
                  <c:v>2017.III.</c:v>
                </c:pt>
                <c:pt idx="7">
                  <c:v>2017.IV.</c:v>
                </c:pt>
                <c:pt idx="8">
                  <c:v>2018.I.R</c:v>
                </c:pt>
                <c:pt idx="9">
                  <c:v>2018.I.Ú</c:v>
                </c:pt>
                <c:pt idx="10">
                  <c:v>2018.II.</c:v>
                </c:pt>
                <c:pt idx="11">
                  <c:v>2018.III.</c:v>
                </c:pt>
                <c:pt idx="12">
                  <c:v>2018.IV.</c:v>
                </c:pt>
                <c:pt idx="13">
                  <c:v>2019.I.</c:v>
                </c:pt>
                <c:pt idx="14">
                  <c:v>2019.II.</c:v>
                </c:pt>
                <c:pt idx="15">
                  <c:v>2019.III.</c:v>
                </c:pt>
                <c:pt idx="16">
                  <c:v>2019.IV.</c:v>
                </c:pt>
                <c:pt idx="17">
                  <c:v>2020.I.</c:v>
                </c:pt>
                <c:pt idx="18">
                  <c:v>2020.II.</c:v>
                </c:pt>
                <c:pt idx="19">
                  <c:v>2020.III.</c:v>
                </c:pt>
                <c:pt idx="20">
                  <c:v>2020.IV.</c:v>
                </c:pt>
                <c:pt idx="21">
                  <c:v>2021.I.</c:v>
                </c:pt>
              </c:strCache>
            </c:strRef>
          </c:cat>
          <c:val>
            <c:numRef>
              <c:f>Idősorok_ábrák_Állományi!$F$354:$AA$354</c:f>
              <c:numCache>
                <c:formatCode>#,##0</c:formatCode>
                <c:ptCount val="22"/>
                <c:pt idx="0">
                  <c:v>78315</c:v>
                </c:pt>
                <c:pt idx="1">
                  <c:v>80625</c:v>
                </c:pt>
                <c:pt idx="2">
                  <c:v>79565</c:v>
                </c:pt>
                <c:pt idx="3">
                  <c:v>83696</c:v>
                </c:pt>
                <c:pt idx="4">
                  <c:v>80838</c:v>
                </c:pt>
                <c:pt idx="5">
                  <c:v>76409</c:v>
                </c:pt>
                <c:pt idx="6">
                  <c:v>75669</c:v>
                </c:pt>
                <c:pt idx="7">
                  <c:v>72860</c:v>
                </c:pt>
                <c:pt idx="8">
                  <c:v>75357</c:v>
                </c:pt>
                <c:pt idx="9">
                  <c:v>75357</c:v>
                </c:pt>
                <c:pt idx="10">
                  <c:v>91286</c:v>
                </c:pt>
                <c:pt idx="11">
                  <c:v>91955</c:v>
                </c:pt>
                <c:pt idx="12">
                  <c:v>91882</c:v>
                </c:pt>
                <c:pt idx="13">
                  <c:v>90536</c:v>
                </c:pt>
                <c:pt idx="14">
                  <c:v>89666</c:v>
                </c:pt>
                <c:pt idx="15">
                  <c:v>100714</c:v>
                </c:pt>
                <c:pt idx="16">
                  <c:v>110818</c:v>
                </c:pt>
                <c:pt idx="17">
                  <c:v>122977</c:v>
                </c:pt>
                <c:pt idx="18">
                  <c:v>117363</c:v>
                </c:pt>
                <c:pt idx="19">
                  <c:v>159984</c:v>
                </c:pt>
                <c:pt idx="20">
                  <c:v>175128</c:v>
                </c:pt>
                <c:pt idx="21">
                  <c:v>178358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B719-4051-823A-D671A7184939}"/>
            </c:ext>
          </c:extLst>
        </c:ser>
        <c:ser>
          <c:idx val="2"/>
          <c:order val="2"/>
          <c:tx>
            <c:strRef>
              <c:f>Idősorok_ábrák_Állományi!$E$355</c:f>
              <c:strCache>
                <c:ptCount val="1"/>
                <c:pt idx="0">
                  <c:v>Élip forint folyószámla-, és egyéb éven belüli hitelei (milliárd Ft)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 sz="800" b="1">
                    <a:latin typeface="Times New Roman" panose="02020603050405020304" pitchFamily="18" charset="0"/>
                    <a:cs typeface="Times New Roman" panose="02020603050405020304" pitchFamily="18" charset="0"/>
                  </a:defRPr>
                </a:pPr>
                <a:endParaRPr lang="hu-H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trendline>
            <c:name>Trendvonal - Élip forint folyószámla-, és egyéb é...</c:name>
            <c:spPr>
              <a:ln w="25400">
                <a:solidFill>
                  <a:srgbClr val="9BBB59"/>
                </a:solidFill>
              </a:ln>
            </c:spPr>
            <c:trendlineType val="linear"/>
            <c:dispRSqr val="0"/>
            <c:dispEq val="0"/>
          </c:trendline>
          <c:cat>
            <c:strRef>
              <c:f>Idősorok_ábrák_Állományi!$F$359:$AA$359</c:f>
              <c:strCache>
                <c:ptCount val="22"/>
                <c:pt idx="0">
                  <c:v>2016. I. </c:v>
                </c:pt>
                <c:pt idx="1">
                  <c:v>2016.II.</c:v>
                </c:pt>
                <c:pt idx="2">
                  <c:v>2016.III.</c:v>
                </c:pt>
                <c:pt idx="3">
                  <c:v>2016.IV.</c:v>
                </c:pt>
                <c:pt idx="4">
                  <c:v>2017.I.</c:v>
                </c:pt>
                <c:pt idx="5">
                  <c:v>2017.II.</c:v>
                </c:pt>
                <c:pt idx="6">
                  <c:v>2017.III.</c:v>
                </c:pt>
                <c:pt idx="7">
                  <c:v>2017.IV.</c:v>
                </c:pt>
                <c:pt idx="8">
                  <c:v>2018.I.R</c:v>
                </c:pt>
                <c:pt idx="9">
                  <c:v>2018.I.Ú</c:v>
                </c:pt>
                <c:pt idx="10">
                  <c:v>2018.II.</c:v>
                </c:pt>
                <c:pt idx="11">
                  <c:v>2018.III.</c:v>
                </c:pt>
                <c:pt idx="12">
                  <c:v>2018.IV.</c:v>
                </c:pt>
                <c:pt idx="13">
                  <c:v>2019.I.</c:v>
                </c:pt>
                <c:pt idx="14">
                  <c:v>2019.II.</c:v>
                </c:pt>
                <c:pt idx="15">
                  <c:v>2019.III.</c:v>
                </c:pt>
                <c:pt idx="16">
                  <c:v>2019.IV.</c:v>
                </c:pt>
                <c:pt idx="17">
                  <c:v>2020.I.</c:v>
                </c:pt>
                <c:pt idx="18">
                  <c:v>2020.II.</c:v>
                </c:pt>
                <c:pt idx="19">
                  <c:v>2020.III.</c:v>
                </c:pt>
                <c:pt idx="20">
                  <c:v>2020.IV.</c:v>
                </c:pt>
                <c:pt idx="21">
                  <c:v>2021.I.</c:v>
                </c:pt>
              </c:strCache>
            </c:strRef>
          </c:cat>
          <c:val>
            <c:numRef>
              <c:f>Idősorok_ábrák_Állományi!$F$355:$AA$355</c:f>
              <c:numCache>
                <c:formatCode>#,##0</c:formatCode>
                <c:ptCount val="22"/>
                <c:pt idx="0">
                  <c:v>129608.12856369</c:v>
                </c:pt>
                <c:pt idx="1">
                  <c:v>122796.130193</c:v>
                </c:pt>
                <c:pt idx="2">
                  <c:v>145811.77002600001</c:v>
                </c:pt>
                <c:pt idx="3">
                  <c:v>148581.69625214199</c:v>
                </c:pt>
                <c:pt idx="4">
                  <c:v>120610.24163372999</c:v>
                </c:pt>
                <c:pt idx="5">
                  <c:v>110234.38432738421</c:v>
                </c:pt>
                <c:pt idx="6">
                  <c:v>144658.40804518489</c:v>
                </c:pt>
                <c:pt idx="7">
                  <c:v>163790.01399039</c:v>
                </c:pt>
                <c:pt idx="8">
                  <c:v>147496.41200000001</c:v>
                </c:pt>
                <c:pt idx="9">
                  <c:v>147496</c:v>
                </c:pt>
                <c:pt idx="10">
                  <c:v>124739</c:v>
                </c:pt>
                <c:pt idx="11">
                  <c:v>154319</c:v>
                </c:pt>
                <c:pt idx="12">
                  <c:v>176599</c:v>
                </c:pt>
                <c:pt idx="13">
                  <c:v>164102</c:v>
                </c:pt>
                <c:pt idx="14">
                  <c:v>152320</c:v>
                </c:pt>
                <c:pt idx="15">
                  <c:v>166105</c:v>
                </c:pt>
                <c:pt idx="16">
                  <c:v>171053</c:v>
                </c:pt>
                <c:pt idx="17">
                  <c:v>174049</c:v>
                </c:pt>
                <c:pt idx="18">
                  <c:v>148143</c:v>
                </c:pt>
                <c:pt idx="19">
                  <c:v>159040</c:v>
                </c:pt>
                <c:pt idx="20">
                  <c:v>153572</c:v>
                </c:pt>
                <c:pt idx="21">
                  <c:v>152637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B719-4051-823A-D671A7184939}"/>
            </c:ext>
          </c:extLst>
        </c:ser>
        <c:ser>
          <c:idx val="3"/>
          <c:order val="3"/>
          <c:tx>
            <c:strRef>
              <c:f>Idősorok_ábrák_Állományi!$E$356</c:f>
              <c:strCache>
                <c:ptCount val="1"/>
                <c:pt idx="0">
                  <c:v>Élip egyéb hitelei (milliárd Ft)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 sz="800" b="1">
                    <a:latin typeface="Times New Roman" panose="02020603050405020304" pitchFamily="18" charset="0"/>
                    <a:cs typeface="Times New Roman" panose="02020603050405020304" pitchFamily="18" charset="0"/>
                  </a:defRPr>
                </a:pPr>
                <a:endParaRPr lang="hu-H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trendline>
            <c:name>Trendvonal - Élip egyéb hitelek</c:name>
            <c:spPr>
              <a:ln w="25400">
                <a:solidFill>
                  <a:srgbClr val="8064A2"/>
                </a:solidFill>
              </a:ln>
            </c:spPr>
            <c:trendlineType val="linear"/>
            <c:dispRSqr val="0"/>
            <c:dispEq val="0"/>
          </c:trendline>
          <c:cat>
            <c:strRef>
              <c:f>Idősorok_ábrák_Állományi!$F$359:$AA$359</c:f>
              <c:strCache>
                <c:ptCount val="22"/>
                <c:pt idx="0">
                  <c:v>2016. I. </c:v>
                </c:pt>
                <c:pt idx="1">
                  <c:v>2016.II.</c:v>
                </c:pt>
                <c:pt idx="2">
                  <c:v>2016.III.</c:v>
                </c:pt>
                <c:pt idx="3">
                  <c:v>2016.IV.</c:v>
                </c:pt>
                <c:pt idx="4">
                  <c:v>2017.I.</c:v>
                </c:pt>
                <c:pt idx="5">
                  <c:v>2017.II.</c:v>
                </c:pt>
                <c:pt idx="6">
                  <c:v>2017.III.</c:v>
                </c:pt>
                <c:pt idx="7">
                  <c:v>2017.IV.</c:v>
                </c:pt>
                <c:pt idx="8">
                  <c:v>2018.I.R</c:v>
                </c:pt>
                <c:pt idx="9">
                  <c:v>2018.I.Ú</c:v>
                </c:pt>
                <c:pt idx="10">
                  <c:v>2018.II.</c:v>
                </c:pt>
                <c:pt idx="11">
                  <c:v>2018.III.</c:v>
                </c:pt>
                <c:pt idx="12">
                  <c:v>2018.IV.</c:v>
                </c:pt>
                <c:pt idx="13">
                  <c:v>2019.I.</c:v>
                </c:pt>
                <c:pt idx="14">
                  <c:v>2019.II.</c:v>
                </c:pt>
                <c:pt idx="15">
                  <c:v>2019.III.</c:v>
                </c:pt>
                <c:pt idx="16">
                  <c:v>2019.IV.</c:v>
                </c:pt>
                <c:pt idx="17">
                  <c:v>2020.I.</c:v>
                </c:pt>
                <c:pt idx="18">
                  <c:v>2020.II.</c:v>
                </c:pt>
                <c:pt idx="19">
                  <c:v>2020.III.</c:v>
                </c:pt>
                <c:pt idx="20">
                  <c:v>2020.IV.</c:v>
                </c:pt>
                <c:pt idx="21">
                  <c:v>2021.I.</c:v>
                </c:pt>
              </c:strCache>
            </c:strRef>
          </c:cat>
          <c:val>
            <c:numRef>
              <c:f>Idősorok_ábrák_Állományi!$F$356:$AA$356</c:f>
              <c:numCache>
                <c:formatCode>#,##0</c:formatCode>
                <c:ptCount val="22"/>
                <c:pt idx="0">
                  <c:v>68325.613071999993</c:v>
                </c:pt>
                <c:pt idx="1">
                  <c:v>68086.087952000002</c:v>
                </c:pt>
                <c:pt idx="2">
                  <c:v>67953.435553999996</c:v>
                </c:pt>
                <c:pt idx="3">
                  <c:v>54966.951553999999</c:v>
                </c:pt>
                <c:pt idx="4">
                  <c:v>54884.513254999998</c:v>
                </c:pt>
                <c:pt idx="5">
                  <c:v>53069.645419</c:v>
                </c:pt>
                <c:pt idx="6">
                  <c:v>47991.457057480002</c:v>
                </c:pt>
                <c:pt idx="7">
                  <c:v>51559.774197669998</c:v>
                </c:pt>
                <c:pt idx="8">
                  <c:v>68921</c:v>
                </c:pt>
                <c:pt idx="9">
                  <c:v>68921</c:v>
                </c:pt>
                <c:pt idx="10">
                  <c:v>76420</c:v>
                </c:pt>
                <c:pt idx="11">
                  <c:v>62987</c:v>
                </c:pt>
                <c:pt idx="12">
                  <c:v>55156</c:v>
                </c:pt>
                <c:pt idx="13">
                  <c:v>62672</c:v>
                </c:pt>
                <c:pt idx="14">
                  <c:v>61864</c:v>
                </c:pt>
                <c:pt idx="15">
                  <c:v>68228</c:v>
                </c:pt>
                <c:pt idx="16">
                  <c:v>75258</c:v>
                </c:pt>
                <c:pt idx="17">
                  <c:v>76953</c:v>
                </c:pt>
                <c:pt idx="18">
                  <c:v>75895</c:v>
                </c:pt>
                <c:pt idx="19">
                  <c:v>75344</c:v>
                </c:pt>
                <c:pt idx="20">
                  <c:v>84577</c:v>
                </c:pt>
                <c:pt idx="21">
                  <c:v>96166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B719-4051-823A-D671A7184939}"/>
            </c:ext>
          </c:extLst>
        </c:ser>
        <c:ser>
          <c:idx val="4"/>
          <c:order val="4"/>
          <c:tx>
            <c:strRef>
              <c:f>Idősorok_ábrák_Állományi!$E$360</c:f>
              <c:strCache>
                <c:ptCount val="1"/>
                <c:pt idx="0">
                  <c:v>Mg. beruházási hitelei (milliárd Ft)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1">
                    <a:latin typeface="Times New Roman" panose="02020603050405020304" pitchFamily="18" charset="0"/>
                    <a:cs typeface="Times New Roman" panose="02020603050405020304" pitchFamily="18" charset="0"/>
                  </a:defRPr>
                </a:pPr>
                <a:endParaRPr lang="hu-H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trendline>
            <c:name>Trendvonal - Mg beruházási hitelek</c:name>
            <c:spPr>
              <a:ln w="28575">
                <a:solidFill>
                  <a:srgbClr val="4BACC6"/>
                </a:solidFill>
              </a:ln>
            </c:spPr>
            <c:trendlineType val="linear"/>
            <c:dispRSqr val="0"/>
            <c:dispEq val="0"/>
          </c:trendline>
          <c:cat>
            <c:strRef>
              <c:f>Idősorok_ábrák_Állományi!$F$359:$AA$359</c:f>
              <c:strCache>
                <c:ptCount val="22"/>
                <c:pt idx="0">
                  <c:v>2016. I. </c:v>
                </c:pt>
                <c:pt idx="1">
                  <c:v>2016.II.</c:v>
                </c:pt>
                <c:pt idx="2">
                  <c:v>2016.III.</c:v>
                </c:pt>
                <c:pt idx="3">
                  <c:v>2016.IV.</c:v>
                </c:pt>
                <c:pt idx="4">
                  <c:v>2017.I.</c:v>
                </c:pt>
                <c:pt idx="5">
                  <c:v>2017.II.</c:v>
                </c:pt>
                <c:pt idx="6">
                  <c:v>2017.III.</c:v>
                </c:pt>
                <c:pt idx="7">
                  <c:v>2017.IV.</c:v>
                </c:pt>
                <c:pt idx="8">
                  <c:v>2018.I.R</c:v>
                </c:pt>
                <c:pt idx="9">
                  <c:v>2018.I.Ú</c:v>
                </c:pt>
                <c:pt idx="10">
                  <c:v>2018.II.</c:v>
                </c:pt>
                <c:pt idx="11">
                  <c:v>2018.III.</c:v>
                </c:pt>
                <c:pt idx="12">
                  <c:v>2018.IV.</c:v>
                </c:pt>
                <c:pt idx="13">
                  <c:v>2019.I.</c:v>
                </c:pt>
                <c:pt idx="14">
                  <c:v>2019.II.</c:v>
                </c:pt>
                <c:pt idx="15">
                  <c:v>2019.III.</c:v>
                </c:pt>
                <c:pt idx="16">
                  <c:v>2019.IV.</c:v>
                </c:pt>
                <c:pt idx="17">
                  <c:v>2020.I.</c:v>
                </c:pt>
                <c:pt idx="18">
                  <c:v>2020.II.</c:v>
                </c:pt>
                <c:pt idx="19">
                  <c:v>2020.III.</c:v>
                </c:pt>
                <c:pt idx="20">
                  <c:v>2020.IV.</c:v>
                </c:pt>
                <c:pt idx="21">
                  <c:v>2021.I.</c:v>
                </c:pt>
              </c:strCache>
            </c:strRef>
          </c:cat>
          <c:val>
            <c:numRef>
              <c:f>Idősorok_ábrák_Állományi!$F$360:$AA$360</c:f>
              <c:numCache>
                <c:formatCode>#,##0</c:formatCode>
                <c:ptCount val="22"/>
                <c:pt idx="0">
                  <c:v>183218</c:v>
                </c:pt>
                <c:pt idx="1">
                  <c:v>184360</c:v>
                </c:pt>
                <c:pt idx="2">
                  <c:v>205315</c:v>
                </c:pt>
                <c:pt idx="3">
                  <c:v>292403</c:v>
                </c:pt>
                <c:pt idx="4">
                  <c:v>319031</c:v>
                </c:pt>
                <c:pt idx="5">
                  <c:v>330064</c:v>
                </c:pt>
                <c:pt idx="6">
                  <c:v>336812</c:v>
                </c:pt>
                <c:pt idx="7">
                  <c:v>324162</c:v>
                </c:pt>
                <c:pt idx="8">
                  <c:v>310380</c:v>
                </c:pt>
                <c:pt idx="9">
                  <c:v>349121</c:v>
                </c:pt>
                <c:pt idx="10">
                  <c:v>359335</c:v>
                </c:pt>
                <c:pt idx="11">
                  <c:v>361384</c:v>
                </c:pt>
                <c:pt idx="12">
                  <c:v>305908</c:v>
                </c:pt>
                <c:pt idx="13">
                  <c:v>370498</c:v>
                </c:pt>
                <c:pt idx="14">
                  <c:v>393784</c:v>
                </c:pt>
                <c:pt idx="15">
                  <c:v>415155</c:v>
                </c:pt>
                <c:pt idx="16">
                  <c:v>406421</c:v>
                </c:pt>
                <c:pt idx="17">
                  <c:v>412445</c:v>
                </c:pt>
                <c:pt idx="18">
                  <c:v>437432</c:v>
                </c:pt>
                <c:pt idx="19">
                  <c:v>443776</c:v>
                </c:pt>
                <c:pt idx="20">
                  <c:v>459351</c:v>
                </c:pt>
                <c:pt idx="21">
                  <c:v>458781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5-858E-4CD6-AB86-6E6B2206E802}"/>
            </c:ext>
          </c:extLst>
        </c:ser>
        <c:ser>
          <c:idx val="5"/>
          <c:order val="5"/>
          <c:tx>
            <c:strRef>
              <c:f>Idősorok_ábrák_Állományi!$E$361</c:f>
              <c:strCache>
                <c:ptCount val="1"/>
                <c:pt idx="0">
                  <c:v>Mg. hosszú lejáratú forgóeszköz hitelei (milliárd Ft)</c:v>
                </c:pt>
              </c:strCache>
            </c:strRef>
          </c:tx>
          <c:spPr>
            <a:solidFill>
              <a:srgbClr val="F79646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 sz="800" b="1">
                    <a:latin typeface="Times New Roman" panose="02020603050405020304" pitchFamily="18" charset="0"/>
                    <a:cs typeface="Times New Roman" panose="02020603050405020304" pitchFamily="18" charset="0"/>
                  </a:defRPr>
                </a:pPr>
                <a:endParaRPr lang="hu-H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trendline>
            <c:name>Trendvonal - Mg hosszú lejáratú forgóeszköz hitelek</c:name>
            <c:spPr>
              <a:ln w="28575">
                <a:solidFill>
                  <a:srgbClr val="F79646"/>
                </a:solidFill>
              </a:ln>
            </c:spPr>
            <c:trendlineType val="linear"/>
            <c:dispRSqr val="0"/>
            <c:dispEq val="0"/>
          </c:trendline>
          <c:cat>
            <c:strRef>
              <c:f>Idősorok_ábrák_Állományi!$F$359:$AA$359</c:f>
              <c:strCache>
                <c:ptCount val="22"/>
                <c:pt idx="0">
                  <c:v>2016. I. </c:v>
                </c:pt>
                <c:pt idx="1">
                  <c:v>2016.II.</c:v>
                </c:pt>
                <c:pt idx="2">
                  <c:v>2016.III.</c:v>
                </c:pt>
                <c:pt idx="3">
                  <c:v>2016.IV.</c:v>
                </c:pt>
                <c:pt idx="4">
                  <c:v>2017.I.</c:v>
                </c:pt>
                <c:pt idx="5">
                  <c:v>2017.II.</c:v>
                </c:pt>
                <c:pt idx="6">
                  <c:v>2017.III.</c:v>
                </c:pt>
                <c:pt idx="7">
                  <c:v>2017.IV.</c:v>
                </c:pt>
                <c:pt idx="8">
                  <c:v>2018.I.R</c:v>
                </c:pt>
                <c:pt idx="9">
                  <c:v>2018.I.Ú</c:v>
                </c:pt>
                <c:pt idx="10">
                  <c:v>2018.II.</c:v>
                </c:pt>
                <c:pt idx="11">
                  <c:v>2018.III.</c:v>
                </c:pt>
                <c:pt idx="12">
                  <c:v>2018.IV.</c:v>
                </c:pt>
                <c:pt idx="13">
                  <c:v>2019.I.</c:v>
                </c:pt>
                <c:pt idx="14">
                  <c:v>2019.II.</c:v>
                </c:pt>
                <c:pt idx="15">
                  <c:v>2019.III.</c:v>
                </c:pt>
                <c:pt idx="16">
                  <c:v>2019.IV.</c:v>
                </c:pt>
                <c:pt idx="17">
                  <c:v>2020.I.</c:v>
                </c:pt>
                <c:pt idx="18">
                  <c:v>2020.II.</c:v>
                </c:pt>
                <c:pt idx="19">
                  <c:v>2020.III.</c:v>
                </c:pt>
                <c:pt idx="20">
                  <c:v>2020.IV.</c:v>
                </c:pt>
                <c:pt idx="21">
                  <c:v>2021.I.</c:v>
                </c:pt>
              </c:strCache>
            </c:strRef>
          </c:cat>
          <c:val>
            <c:numRef>
              <c:f>Idősorok_ábrák_Állományi!$F$361:$AA$361</c:f>
              <c:numCache>
                <c:formatCode>#,##0</c:formatCode>
                <c:ptCount val="22"/>
                <c:pt idx="0">
                  <c:v>121979</c:v>
                </c:pt>
                <c:pt idx="1">
                  <c:v>131732</c:v>
                </c:pt>
                <c:pt idx="2">
                  <c:v>140200</c:v>
                </c:pt>
                <c:pt idx="3">
                  <c:v>125460</c:v>
                </c:pt>
                <c:pt idx="4">
                  <c:v>128597</c:v>
                </c:pt>
                <c:pt idx="5">
                  <c:v>127870</c:v>
                </c:pt>
                <c:pt idx="6">
                  <c:v>131807</c:v>
                </c:pt>
                <c:pt idx="7">
                  <c:v>114667</c:v>
                </c:pt>
                <c:pt idx="8">
                  <c:v>105166</c:v>
                </c:pt>
                <c:pt idx="9">
                  <c:v>105166</c:v>
                </c:pt>
                <c:pt idx="10">
                  <c:v>104389</c:v>
                </c:pt>
                <c:pt idx="11">
                  <c:v>110918</c:v>
                </c:pt>
                <c:pt idx="12">
                  <c:v>109023</c:v>
                </c:pt>
                <c:pt idx="13">
                  <c:v>114952</c:v>
                </c:pt>
                <c:pt idx="14">
                  <c:v>126613</c:v>
                </c:pt>
                <c:pt idx="15">
                  <c:v>134153</c:v>
                </c:pt>
                <c:pt idx="16">
                  <c:v>126427</c:v>
                </c:pt>
                <c:pt idx="17">
                  <c:v>129000</c:v>
                </c:pt>
                <c:pt idx="18">
                  <c:v>121664</c:v>
                </c:pt>
                <c:pt idx="19">
                  <c:v>138966</c:v>
                </c:pt>
                <c:pt idx="20">
                  <c:v>146232</c:v>
                </c:pt>
                <c:pt idx="21">
                  <c:v>144523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7-858E-4CD6-AB86-6E6B2206E802}"/>
            </c:ext>
          </c:extLst>
        </c:ser>
        <c:ser>
          <c:idx val="6"/>
          <c:order val="6"/>
          <c:tx>
            <c:strRef>
              <c:f>Idősorok_ábrák_Állományi!$E$362</c:f>
              <c:strCache>
                <c:ptCount val="1"/>
                <c:pt idx="0">
                  <c:v>Mg. forint folyószámla-, és egyéb éven belüli hitelei (milliárd Ft)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 sz="800" b="1">
                    <a:latin typeface="Times New Roman" panose="02020603050405020304" pitchFamily="18" charset="0"/>
                    <a:cs typeface="Times New Roman" panose="02020603050405020304" pitchFamily="18" charset="0"/>
                  </a:defRPr>
                </a:pPr>
                <a:endParaRPr lang="hu-H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trendline>
            <c:name>Trendvonal - Mg forint folyószámla-, és éven belüli egyéb</c:name>
            <c:spPr>
              <a:ln w="28575">
                <a:solidFill>
                  <a:srgbClr val="4F81BD">
                    <a:lumMod val="60000"/>
                    <a:lumOff val="40000"/>
                  </a:srgbClr>
                </a:solidFill>
              </a:ln>
            </c:spPr>
            <c:trendlineType val="linear"/>
            <c:dispRSqr val="0"/>
            <c:dispEq val="0"/>
          </c:trendline>
          <c:cat>
            <c:strRef>
              <c:f>Idősorok_ábrák_Állományi!$F$359:$AA$359</c:f>
              <c:strCache>
                <c:ptCount val="22"/>
                <c:pt idx="0">
                  <c:v>2016. I. </c:v>
                </c:pt>
                <c:pt idx="1">
                  <c:v>2016.II.</c:v>
                </c:pt>
                <c:pt idx="2">
                  <c:v>2016.III.</c:v>
                </c:pt>
                <c:pt idx="3">
                  <c:v>2016.IV.</c:v>
                </c:pt>
                <c:pt idx="4">
                  <c:v>2017.I.</c:v>
                </c:pt>
                <c:pt idx="5">
                  <c:v>2017.II.</c:v>
                </c:pt>
                <c:pt idx="6">
                  <c:v>2017.III.</c:v>
                </c:pt>
                <c:pt idx="7">
                  <c:v>2017.IV.</c:v>
                </c:pt>
                <c:pt idx="8">
                  <c:v>2018.I.R</c:v>
                </c:pt>
                <c:pt idx="9">
                  <c:v>2018.I.Ú</c:v>
                </c:pt>
                <c:pt idx="10">
                  <c:v>2018.II.</c:v>
                </c:pt>
                <c:pt idx="11">
                  <c:v>2018.III.</c:v>
                </c:pt>
                <c:pt idx="12">
                  <c:v>2018.IV.</c:v>
                </c:pt>
                <c:pt idx="13">
                  <c:v>2019.I.</c:v>
                </c:pt>
                <c:pt idx="14">
                  <c:v>2019.II.</c:v>
                </c:pt>
                <c:pt idx="15">
                  <c:v>2019.III.</c:v>
                </c:pt>
                <c:pt idx="16">
                  <c:v>2019.IV.</c:v>
                </c:pt>
                <c:pt idx="17">
                  <c:v>2020.I.</c:v>
                </c:pt>
                <c:pt idx="18">
                  <c:v>2020.II.</c:v>
                </c:pt>
                <c:pt idx="19">
                  <c:v>2020.III.</c:v>
                </c:pt>
                <c:pt idx="20">
                  <c:v>2020.IV.</c:v>
                </c:pt>
                <c:pt idx="21">
                  <c:v>2021.I.</c:v>
                </c:pt>
              </c:strCache>
            </c:strRef>
          </c:cat>
          <c:val>
            <c:numRef>
              <c:f>Idősorok_ábrák_Állományi!$F$362:$AA$362</c:f>
              <c:numCache>
                <c:formatCode>#,##0</c:formatCode>
                <c:ptCount val="22"/>
                <c:pt idx="0">
                  <c:v>94389.682143999991</c:v>
                </c:pt>
                <c:pt idx="1">
                  <c:v>97095.397956000001</c:v>
                </c:pt>
                <c:pt idx="2">
                  <c:v>111749.2168088</c:v>
                </c:pt>
                <c:pt idx="3">
                  <c:v>86393.238572439994</c:v>
                </c:pt>
                <c:pt idx="4">
                  <c:v>99440.814976180001</c:v>
                </c:pt>
                <c:pt idx="5">
                  <c:v>99566.586715320009</c:v>
                </c:pt>
                <c:pt idx="6">
                  <c:v>122843.42086325999</c:v>
                </c:pt>
                <c:pt idx="7">
                  <c:v>119440.98086859001</c:v>
                </c:pt>
                <c:pt idx="8">
                  <c:v>97182.161999999997</c:v>
                </c:pt>
                <c:pt idx="9">
                  <c:v>97194</c:v>
                </c:pt>
                <c:pt idx="10">
                  <c:v>103904</c:v>
                </c:pt>
                <c:pt idx="11">
                  <c:v>121774</c:v>
                </c:pt>
                <c:pt idx="12">
                  <c:v>134513</c:v>
                </c:pt>
                <c:pt idx="13">
                  <c:v>131754</c:v>
                </c:pt>
                <c:pt idx="14">
                  <c:v>134174</c:v>
                </c:pt>
                <c:pt idx="15">
                  <c:v>139575</c:v>
                </c:pt>
                <c:pt idx="16">
                  <c:v>147847</c:v>
                </c:pt>
                <c:pt idx="17">
                  <c:v>142868</c:v>
                </c:pt>
                <c:pt idx="18">
                  <c:v>165390</c:v>
                </c:pt>
                <c:pt idx="19">
                  <c:v>175417</c:v>
                </c:pt>
                <c:pt idx="20">
                  <c:v>158423</c:v>
                </c:pt>
                <c:pt idx="21">
                  <c:v>151648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9-858E-4CD6-AB86-6E6B2206E802}"/>
            </c:ext>
          </c:extLst>
        </c:ser>
        <c:ser>
          <c:idx val="7"/>
          <c:order val="7"/>
          <c:tx>
            <c:strRef>
              <c:f>Idősorok_ábrák_Állományi!$E$363</c:f>
              <c:strCache>
                <c:ptCount val="1"/>
                <c:pt idx="0">
                  <c:v>Mg. egyéb hitelei (milliárd Ft)</c:v>
                </c:pt>
              </c:strCache>
            </c:strRef>
          </c:tx>
          <c:spPr>
            <a:solidFill>
              <a:srgbClr val="C0504D">
                <a:lumMod val="60000"/>
                <a:lumOff val="40000"/>
              </a:srgbClr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 sz="800" b="1">
                    <a:latin typeface="Times New Roman" panose="02020603050405020304" pitchFamily="18" charset="0"/>
                    <a:cs typeface="Times New Roman" panose="02020603050405020304" pitchFamily="18" charset="0"/>
                  </a:defRPr>
                </a:pPr>
                <a:endParaRPr lang="hu-H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trendline>
            <c:name>Trendvonal - Mg egyéb hitelek</c:name>
            <c:spPr>
              <a:ln w="28575">
                <a:solidFill>
                  <a:srgbClr val="C0504D">
                    <a:lumMod val="60000"/>
                    <a:lumOff val="40000"/>
                  </a:srgbClr>
                </a:solidFill>
              </a:ln>
            </c:spPr>
            <c:trendlineType val="linear"/>
            <c:dispRSqr val="0"/>
            <c:dispEq val="0"/>
          </c:trendline>
          <c:cat>
            <c:strRef>
              <c:f>Idősorok_ábrák_Állományi!$F$359:$AA$359</c:f>
              <c:strCache>
                <c:ptCount val="22"/>
                <c:pt idx="0">
                  <c:v>2016. I. </c:v>
                </c:pt>
                <c:pt idx="1">
                  <c:v>2016.II.</c:v>
                </c:pt>
                <c:pt idx="2">
                  <c:v>2016.III.</c:v>
                </c:pt>
                <c:pt idx="3">
                  <c:v>2016.IV.</c:v>
                </c:pt>
                <c:pt idx="4">
                  <c:v>2017.I.</c:v>
                </c:pt>
                <c:pt idx="5">
                  <c:v>2017.II.</c:v>
                </c:pt>
                <c:pt idx="6">
                  <c:v>2017.III.</c:v>
                </c:pt>
                <c:pt idx="7">
                  <c:v>2017.IV.</c:v>
                </c:pt>
                <c:pt idx="8">
                  <c:v>2018.I.R</c:v>
                </c:pt>
                <c:pt idx="9">
                  <c:v>2018.I.Ú</c:v>
                </c:pt>
                <c:pt idx="10">
                  <c:v>2018.II.</c:v>
                </c:pt>
                <c:pt idx="11">
                  <c:v>2018.III.</c:v>
                </c:pt>
                <c:pt idx="12">
                  <c:v>2018.IV.</c:v>
                </c:pt>
                <c:pt idx="13">
                  <c:v>2019.I.</c:v>
                </c:pt>
                <c:pt idx="14">
                  <c:v>2019.II.</c:v>
                </c:pt>
                <c:pt idx="15">
                  <c:v>2019.III.</c:v>
                </c:pt>
                <c:pt idx="16">
                  <c:v>2019.IV.</c:v>
                </c:pt>
                <c:pt idx="17">
                  <c:v>2020.I.</c:v>
                </c:pt>
                <c:pt idx="18">
                  <c:v>2020.II.</c:v>
                </c:pt>
                <c:pt idx="19">
                  <c:v>2020.III.</c:v>
                </c:pt>
                <c:pt idx="20">
                  <c:v>2020.IV.</c:v>
                </c:pt>
                <c:pt idx="21">
                  <c:v>2021.I.</c:v>
                </c:pt>
              </c:strCache>
            </c:strRef>
          </c:cat>
          <c:val>
            <c:numRef>
              <c:f>Idősorok_ábrák_Állományi!$F$363:$AA$363</c:f>
              <c:numCache>
                <c:formatCode>#,##0</c:formatCode>
                <c:ptCount val="22"/>
                <c:pt idx="0">
                  <c:v>41648.096647259998</c:v>
                </c:pt>
                <c:pt idx="1">
                  <c:v>45143.081831000003</c:v>
                </c:pt>
                <c:pt idx="2">
                  <c:v>51509.329144000003</c:v>
                </c:pt>
                <c:pt idx="3">
                  <c:v>58994.108231000006</c:v>
                </c:pt>
                <c:pt idx="4">
                  <c:v>57986.622282209995</c:v>
                </c:pt>
                <c:pt idx="5">
                  <c:v>64979.578405940003</c:v>
                </c:pt>
                <c:pt idx="6">
                  <c:v>53262.333029000001</c:v>
                </c:pt>
                <c:pt idx="7">
                  <c:v>52389.253880000004</c:v>
                </c:pt>
                <c:pt idx="8">
                  <c:v>67640</c:v>
                </c:pt>
                <c:pt idx="9">
                  <c:v>67640</c:v>
                </c:pt>
                <c:pt idx="10">
                  <c:v>77080</c:v>
                </c:pt>
                <c:pt idx="11">
                  <c:v>73328</c:v>
                </c:pt>
                <c:pt idx="12">
                  <c:v>75005</c:v>
                </c:pt>
                <c:pt idx="13">
                  <c:v>67356</c:v>
                </c:pt>
                <c:pt idx="14">
                  <c:v>68042</c:v>
                </c:pt>
                <c:pt idx="15">
                  <c:v>57634</c:v>
                </c:pt>
                <c:pt idx="16">
                  <c:v>48164</c:v>
                </c:pt>
                <c:pt idx="17">
                  <c:v>98587</c:v>
                </c:pt>
                <c:pt idx="18">
                  <c:v>51141</c:v>
                </c:pt>
                <c:pt idx="19">
                  <c:v>54357</c:v>
                </c:pt>
                <c:pt idx="20">
                  <c:v>50916</c:v>
                </c:pt>
                <c:pt idx="21">
                  <c:v>97179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B-858E-4CD6-AB86-6E6B2206E802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572182632"/>
        <c:axId val="572180280"/>
      </c:barChart>
      <c:catAx>
        <c:axId val="57218263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800">
                <a:latin typeface="Times New Roman" panose="02020603050405020304" pitchFamily="18" charset="0"/>
                <a:cs typeface="Times New Roman" panose="02020603050405020304" pitchFamily="18" charset="0"/>
              </a:defRPr>
            </a:pPr>
            <a:endParaRPr lang="hu-HU"/>
          </a:p>
        </c:txPr>
        <c:crossAx val="572180280"/>
        <c:crosses val="autoZero"/>
        <c:auto val="1"/>
        <c:lblAlgn val="ctr"/>
        <c:lblOffset val="100"/>
        <c:noMultiLvlLbl val="0"/>
      </c:catAx>
      <c:valAx>
        <c:axId val="572180280"/>
        <c:scaling>
          <c:orientation val="minMax"/>
        </c:scaling>
        <c:delete val="0"/>
        <c:axPos val="l"/>
        <c:majorGridlines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 sz="800">
                <a:latin typeface="Times New Roman" panose="02020603050405020304" pitchFamily="18" charset="0"/>
                <a:cs typeface="Times New Roman" panose="02020603050405020304" pitchFamily="18" charset="0"/>
              </a:defRPr>
            </a:pPr>
            <a:endParaRPr lang="hu-HU"/>
          </a:p>
        </c:txPr>
        <c:crossAx val="572182632"/>
        <c:crosses val="autoZero"/>
        <c:crossBetween val="between"/>
        <c:dispUnits>
          <c:builtInUnit val="thousands"/>
        </c:dispUnits>
      </c:valAx>
    </c:plotArea>
    <c:legend>
      <c:legendPos val="b"/>
      <c:layout>
        <c:manualLayout>
          <c:xMode val="edge"/>
          <c:yMode val="edge"/>
          <c:x val="0.20019278833003792"/>
          <c:y val="0.91332548372243294"/>
          <c:w val="0.67157357941113427"/>
          <c:h val="7.8495751228156413E-2"/>
        </c:manualLayout>
      </c:layout>
      <c:overlay val="0"/>
      <c:txPr>
        <a:bodyPr/>
        <a:lstStyle/>
        <a:p>
          <a:pPr>
            <a:defRPr sz="800">
              <a:latin typeface="Times New Roman" panose="02020603050405020304" pitchFamily="18" charset="0"/>
              <a:cs typeface="Times New Roman" panose="02020603050405020304" pitchFamily="18" charset="0"/>
            </a:defRPr>
          </a:pPr>
          <a:endParaRPr lang="hu-HU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6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hu-H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1.993947027807947E-2"/>
          <c:y val="1.6588570558006503E-2"/>
          <c:w val="0.97275121315296087"/>
          <c:h val="0.8447560346120465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Idősorok_ábrák_Állományi!$D$305</c:f>
              <c:strCache>
                <c:ptCount val="1"/>
                <c:pt idx="0">
                  <c:v>Mg. beruházási hitelei (milliárd Ft)</c:v>
                </c:pt>
              </c:strCache>
            </c:strRef>
          </c:tx>
          <c:invertIfNegative val="0"/>
          <c:dLbls>
            <c:delete val="1"/>
          </c:dLbls>
          <c:trendline>
            <c:name>Trendvonal - beruházási hitelek</c:name>
            <c:spPr>
              <a:ln w="25400">
                <a:solidFill>
                  <a:srgbClr val="4F81BD"/>
                </a:solidFill>
              </a:ln>
            </c:spPr>
            <c:trendlineType val="linear"/>
            <c:dispRSqr val="0"/>
            <c:dispEq val="0"/>
          </c:trendline>
          <c:cat>
            <c:strRef>
              <c:f>Idősorok_ábrák_Állományi!$E$302:$Z$302</c:f>
              <c:strCache>
                <c:ptCount val="22"/>
                <c:pt idx="0">
                  <c:v>2016. I. </c:v>
                </c:pt>
                <c:pt idx="1">
                  <c:v>2016.II.</c:v>
                </c:pt>
                <c:pt idx="2">
                  <c:v>2016.III.</c:v>
                </c:pt>
                <c:pt idx="3">
                  <c:v>2016.IV.</c:v>
                </c:pt>
                <c:pt idx="4">
                  <c:v>2017.I.</c:v>
                </c:pt>
                <c:pt idx="5">
                  <c:v>2017.II.</c:v>
                </c:pt>
                <c:pt idx="6">
                  <c:v>2017.III.</c:v>
                </c:pt>
                <c:pt idx="7">
                  <c:v>2017.IV.</c:v>
                </c:pt>
                <c:pt idx="8">
                  <c:v>2018.I.R</c:v>
                </c:pt>
                <c:pt idx="9">
                  <c:v>2018.I.Ú</c:v>
                </c:pt>
                <c:pt idx="10">
                  <c:v>2018.II.</c:v>
                </c:pt>
                <c:pt idx="11">
                  <c:v>2018.III.</c:v>
                </c:pt>
                <c:pt idx="12">
                  <c:v>2018.IV.</c:v>
                </c:pt>
                <c:pt idx="13">
                  <c:v>2019.I.</c:v>
                </c:pt>
                <c:pt idx="14">
                  <c:v>2019.II.</c:v>
                </c:pt>
                <c:pt idx="15">
                  <c:v>2019.III.</c:v>
                </c:pt>
                <c:pt idx="16">
                  <c:v>2019.IV.</c:v>
                </c:pt>
                <c:pt idx="17">
                  <c:v>2020.I.</c:v>
                </c:pt>
                <c:pt idx="18">
                  <c:v>2020.II.</c:v>
                </c:pt>
                <c:pt idx="19">
                  <c:v>2020.III.</c:v>
                </c:pt>
                <c:pt idx="20">
                  <c:v>2020.IV.</c:v>
                </c:pt>
                <c:pt idx="21">
                  <c:v>2021.I.</c:v>
                </c:pt>
              </c:strCache>
            </c:strRef>
          </c:cat>
          <c:val>
            <c:numRef>
              <c:f>Idősorok_ábrák_Állományi!$E$305:$Z$305</c:f>
              <c:numCache>
                <c:formatCode>#,##0</c:formatCode>
                <c:ptCount val="22"/>
                <c:pt idx="0">
                  <c:v>183218</c:v>
                </c:pt>
                <c:pt idx="1">
                  <c:v>184360</c:v>
                </c:pt>
                <c:pt idx="2">
                  <c:v>205315</c:v>
                </c:pt>
                <c:pt idx="3">
                  <c:v>292403</c:v>
                </c:pt>
                <c:pt idx="4">
                  <c:v>319031</c:v>
                </c:pt>
                <c:pt idx="5">
                  <c:v>330064</c:v>
                </c:pt>
                <c:pt idx="6">
                  <c:v>336812</c:v>
                </c:pt>
                <c:pt idx="7">
                  <c:v>324162</c:v>
                </c:pt>
                <c:pt idx="8">
                  <c:v>310380</c:v>
                </c:pt>
                <c:pt idx="9">
                  <c:v>349121</c:v>
                </c:pt>
                <c:pt idx="10">
                  <c:v>359335</c:v>
                </c:pt>
                <c:pt idx="11">
                  <c:v>361384</c:v>
                </c:pt>
                <c:pt idx="12">
                  <c:v>305908</c:v>
                </c:pt>
                <c:pt idx="13">
                  <c:v>370498</c:v>
                </c:pt>
                <c:pt idx="14">
                  <c:v>393784</c:v>
                </c:pt>
                <c:pt idx="15">
                  <c:v>415155</c:v>
                </c:pt>
                <c:pt idx="16">
                  <c:v>406421</c:v>
                </c:pt>
                <c:pt idx="17">
                  <c:v>412445</c:v>
                </c:pt>
                <c:pt idx="18">
                  <c:v>437432</c:v>
                </c:pt>
                <c:pt idx="19">
                  <c:v>443776</c:v>
                </c:pt>
                <c:pt idx="20">
                  <c:v>459351</c:v>
                </c:pt>
                <c:pt idx="21">
                  <c:v>458781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C82D-4906-A05B-622D2CD4725B}"/>
            </c:ext>
          </c:extLst>
        </c:ser>
        <c:ser>
          <c:idx val="1"/>
          <c:order val="1"/>
          <c:tx>
            <c:strRef>
              <c:f>Idősorok_ábrák_Állományi!$D$310</c:f>
              <c:strCache>
                <c:ptCount val="1"/>
                <c:pt idx="0">
                  <c:v>Mg. hosszú lejáratú forgóeszköz hitelei (milliárd Ft)</c:v>
                </c:pt>
              </c:strCache>
            </c:strRef>
          </c:tx>
          <c:invertIfNegative val="0"/>
          <c:dLbls>
            <c:delete val="1"/>
          </c:dLbls>
          <c:trendline>
            <c:name>Trendvonal - hosszú lejáratú forgóeszköz hitelek</c:name>
            <c:spPr>
              <a:ln w="25400">
                <a:solidFill>
                  <a:srgbClr val="C0504D"/>
                </a:solidFill>
              </a:ln>
            </c:spPr>
            <c:trendlineType val="linear"/>
            <c:dispRSqr val="0"/>
            <c:dispEq val="0"/>
          </c:trendline>
          <c:cat>
            <c:strRef>
              <c:f>Idősorok_ábrák_Állományi!$E$302:$Z$302</c:f>
              <c:strCache>
                <c:ptCount val="22"/>
                <c:pt idx="0">
                  <c:v>2016. I. </c:v>
                </c:pt>
                <c:pt idx="1">
                  <c:v>2016.II.</c:v>
                </c:pt>
                <c:pt idx="2">
                  <c:v>2016.III.</c:v>
                </c:pt>
                <c:pt idx="3">
                  <c:v>2016.IV.</c:v>
                </c:pt>
                <c:pt idx="4">
                  <c:v>2017.I.</c:v>
                </c:pt>
                <c:pt idx="5">
                  <c:v>2017.II.</c:v>
                </c:pt>
                <c:pt idx="6">
                  <c:v>2017.III.</c:v>
                </c:pt>
                <c:pt idx="7">
                  <c:v>2017.IV.</c:v>
                </c:pt>
                <c:pt idx="8">
                  <c:v>2018.I.R</c:v>
                </c:pt>
                <c:pt idx="9">
                  <c:v>2018.I.Ú</c:v>
                </c:pt>
                <c:pt idx="10">
                  <c:v>2018.II.</c:v>
                </c:pt>
                <c:pt idx="11">
                  <c:v>2018.III.</c:v>
                </c:pt>
                <c:pt idx="12">
                  <c:v>2018.IV.</c:v>
                </c:pt>
                <c:pt idx="13">
                  <c:v>2019.I.</c:v>
                </c:pt>
                <c:pt idx="14">
                  <c:v>2019.II.</c:v>
                </c:pt>
                <c:pt idx="15">
                  <c:v>2019.III.</c:v>
                </c:pt>
                <c:pt idx="16">
                  <c:v>2019.IV.</c:v>
                </c:pt>
                <c:pt idx="17">
                  <c:v>2020.I.</c:v>
                </c:pt>
                <c:pt idx="18">
                  <c:v>2020.II.</c:v>
                </c:pt>
                <c:pt idx="19">
                  <c:v>2020.III.</c:v>
                </c:pt>
                <c:pt idx="20">
                  <c:v>2020.IV.</c:v>
                </c:pt>
                <c:pt idx="21">
                  <c:v>2021.I.</c:v>
                </c:pt>
              </c:strCache>
            </c:strRef>
          </c:cat>
          <c:val>
            <c:numRef>
              <c:f>Idősorok_ábrák_Állományi!$E$310:$Z$310</c:f>
              <c:numCache>
                <c:formatCode>#,##0</c:formatCode>
                <c:ptCount val="22"/>
                <c:pt idx="0">
                  <c:v>121979</c:v>
                </c:pt>
                <c:pt idx="1">
                  <c:v>131732</c:v>
                </c:pt>
                <c:pt idx="2">
                  <c:v>140200</c:v>
                </c:pt>
                <c:pt idx="3">
                  <c:v>125460</c:v>
                </c:pt>
                <c:pt idx="4">
                  <c:v>128597</c:v>
                </c:pt>
                <c:pt idx="5">
                  <c:v>127870</c:v>
                </c:pt>
                <c:pt idx="6">
                  <c:v>131807</c:v>
                </c:pt>
                <c:pt idx="7">
                  <c:v>114667</c:v>
                </c:pt>
                <c:pt idx="8">
                  <c:v>105166</c:v>
                </c:pt>
                <c:pt idx="9">
                  <c:v>105166</c:v>
                </c:pt>
                <c:pt idx="10">
                  <c:v>104389</c:v>
                </c:pt>
                <c:pt idx="11">
                  <c:v>110918</c:v>
                </c:pt>
                <c:pt idx="12">
                  <c:v>109023</c:v>
                </c:pt>
                <c:pt idx="13">
                  <c:v>114952</c:v>
                </c:pt>
                <c:pt idx="14">
                  <c:v>126613</c:v>
                </c:pt>
                <c:pt idx="15">
                  <c:v>134153</c:v>
                </c:pt>
                <c:pt idx="16">
                  <c:v>126427</c:v>
                </c:pt>
                <c:pt idx="17">
                  <c:v>129000</c:v>
                </c:pt>
                <c:pt idx="18">
                  <c:v>121664</c:v>
                </c:pt>
                <c:pt idx="19">
                  <c:v>138966</c:v>
                </c:pt>
                <c:pt idx="20">
                  <c:v>146232</c:v>
                </c:pt>
                <c:pt idx="21">
                  <c:v>144523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C82D-4906-A05B-622D2CD4725B}"/>
            </c:ext>
          </c:extLst>
        </c:ser>
        <c:ser>
          <c:idx val="2"/>
          <c:order val="2"/>
          <c:tx>
            <c:strRef>
              <c:f>Idősorok_ábrák_Állományi!$D$315</c:f>
              <c:strCache>
                <c:ptCount val="1"/>
                <c:pt idx="0">
                  <c:v>Mg. forint folyószámla-, és egyéb éven belüli hitelei (milliárd Ft)</c:v>
                </c:pt>
              </c:strCache>
            </c:strRef>
          </c:tx>
          <c:invertIfNegative val="0"/>
          <c:dLbls>
            <c:delete val="1"/>
          </c:dLbls>
          <c:trendline>
            <c:name>Trendvonal - forint folyószámla-, és egyéb éven belüli hitelek</c:name>
            <c:spPr>
              <a:ln w="25400">
                <a:solidFill>
                  <a:srgbClr val="9BBB59"/>
                </a:solidFill>
              </a:ln>
            </c:spPr>
            <c:trendlineType val="linear"/>
            <c:dispRSqr val="0"/>
            <c:dispEq val="0"/>
          </c:trendline>
          <c:cat>
            <c:strRef>
              <c:f>Idősorok_ábrák_Állományi!$E$302:$Z$302</c:f>
              <c:strCache>
                <c:ptCount val="22"/>
                <c:pt idx="0">
                  <c:v>2016. I. </c:v>
                </c:pt>
                <c:pt idx="1">
                  <c:v>2016.II.</c:v>
                </c:pt>
                <c:pt idx="2">
                  <c:v>2016.III.</c:v>
                </c:pt>
                <c:pt idx="3">
                  <c:v>2016.IV.</c:v>
                </c:pt>
                <c:pt idx="4">
                  <c:v>2017.I.</c:v>
                </c:pt>
                <c:pt idx="5">
                  <c:v>2017.II.</c:v>
                </c:pt>
                <c:pt idx="6">
                  <c:v>2017.III.</c:v>
                </c:pt>
                <c:pt idx="7">
                  <c:v>2017.IV.</c:v>
                </c:pt>
                <c:pt idx="8">
                  <c:v>2018.I.R</c:v>
                </c:pt>
                <c:pt idx="9">
                  <c:v>2018.I.Ú</c:v>
                </c:pt>
                <c:pt idx="10">
                  <c:v>2018.II.</c:v>
                </c:pt>
                <c:pt idx="11">
                  <c:v>2018.III.</c:v>
                </c:pt>
                <c:pt idx="12">
                  <c:v>2018.IV.</c:v>
                </c:pt>
                <c:pt idx="13">
                  <c:v>2019.I.</c:v>
                </c:pt>
                <c:pt idx="14">
                  <c:v>2019.II.</c:v>
                </c:pt>
                <c:pt idx="15">
                  <c:v>2019.III.</c:v>
                </c:pt>
                <c:pt idx="16">
                  <c:v>2019.IV.</c:v>
                </c:pt>
                <c:pt idx="17">
                  <c:v>2020.I.</c:v>
                </c:pt>
                <c:pt idx="18">
                  <c:v>2020.II.</c:v>
                </c:pt>
                <c:pt idx="19">
                  <c:v>2020.III.</c:v>
                </c:pt>
                <c:pt idx="20">
                  <c:v>2020.IV.</c:v>
                </c:pt>
                <c:pt idx="21">
                  <c:v>2021.I.</c:v>
                </c:pt>
              </c:strCache>
            </c:strRef>
          </c:cat>
          <c:val>
            <c:numRef>
              <c:f>Idősorok_ábrák_Állományi!$E$315:$Z$315</c:f>
              <c:numCache>
                <c:formatCode>#,##0</c:formatCode>
                <c:ptCount val="22"/>
                <c:pt idx="0">
                  <c:v>94389.682143999991</c:v>
                </c:pt>
                <c:pt idx="1">
                  <c:v>97095.397956000001</c:v>
                </c:pt>
                <c:pt idx="2">
                  <c:v>111749.2168088</c:v>
                </c:pt>
                <c:pt idx="3">
                  <c:v>86393.238572439994</c:v>
                </c:pt>
                <c:pt idx="4">
                  <c:v>99440.814976180001</c:v>
                </c:pt>
                <c:pt idx="5">
                  <c:v>99566.586715320009</c:v>
                </c:pt>
                <c:pt idx="6">
                  <c:v>122843.42086325999</c:v>
                </c:pt>
                <c:pt idx="7">
                  <c:v>119440.98086859001</c:v>
                </c:pt>
                <c:pt idx="8">
                  <c:v>97182.161999999997</c:v>
                </c:pt>
                <c:pt idx="9">
                  <c:v>97194</c:v>
                </c:pt>
                <c:pt idx="10">
                  <c:v>103904</c:v>
                </c:pt>
                <c:pt idx="11">
                  <c:v>121774</c:v>
                </c:pt>
                <c:pt idx="12">
                  <c:v>134513</c:v>
                </c:pt>
                <c:pt idx="13">
                  <c:v>131754</c:v>
                </c:pt>
                <c:pt idx="14">
                  <c:v>134174</c:v>
                </c:pt>
                <c:pt idx="15">
                  <c:v>139575</c:v>
                </c:pt>
                <c:pt idx="16">
                  <c:v>147847</c:v>
                </c:pt>
                <c:pt idx="17">
                  <c:v>142868</c:v>
                </c:pt>
                <c:pt idx="18">
                  <c:v>165390</c:v>
                </c:pt>
                <c:pt idx="19">
                  <c:v>175417</c:v>
                </c:pt>
                <c:pt idx="20">
                  <c:v>158423</c:v>
                </c:pt>
                <c:pt idx="21">
                  <c:v>151648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C82D-4906-A05B-622D2CD4725B}"/>
            </c:ext>
          </c:extLst>
        </c:ser>
        <c:ser>
          <c:idx val="3"/>
          <c:order val="3"/>
          <c:tx>
            <c:strRef>
              <c:f>Idősorok_ábrák_Állományi!$D$320</c:f>
              <c:strCache>
                <c:ptCount val="1"/>
                <c:pt idx="0">
                  <c:v>Mg. egyéb hitelei (milliárd Ft)</c:v>
                </c:pt>
              </c:strCache>
            </c:strRef>
          </c:tx>
          <c:invertIfNegative val="0"/>
          <c:dLbls>
            <c:delete val="1"/>
          </c:dLbls>
          <c:trendline>
            <c:name>Trendvonal - egyéb hitelek</c:name>
            <c:spPr>
              <a:ln w="25400">
                <a:solidFill>
                  <a:srgbClr val="8064A2"/>
                </a:solidFill>
              </a:ln>
            </c:spPr>
            <c:trendlineType val="linear"/>
            <c:dispRSqr val="0"/>
            <c:dispEq val="0"/>
          </c:trendline>
          <c:cat>
            <c:strRef>
              <c:f>Idősorok_ábrák_Állományi!$E$302:$Z$302</c:f>
              <c:strCache>
                <c:ptCount val="22"/>
                <c:pt idx="0">
                  <c:v>2016. I. </c:v>
                </c:pt>
                <c:pt idx="1">
                  <c:v>2016.II.</c:v>
                </c:pt>
                <c:pt idx="2">
                  <c:v>2016.III.</c:v>
                </c:pt>
                <c:pt idx="3">
                  <c:v>2016.IV.</c:v>
                </c:pt>
                <c:pt idx="4">
                  <c:v>2017.I.</c:v>
                </c:pt>
                <c:pt idx="5">
                  <c:v>2017.II.</c:v>
                </c:pt>
                <c:pt idx="6">
                  <c:v>2017.III.</c:v>
                </c:pt>
                <c:pt idx="7">
                  <c:v>2017.IV.</c:v>
                </c:pt>
                <c:pt idx="8">
                  <c:v>2018.I.R</c:v>
                </c:pt>
                <c:pt idx="9">
                  <c:v>2018.I.Ú</c:v>
                </c:pt>
                <c:pt idx="10">
                  <c:v>2018.II.</c:v>
                </c:pt>
                <c:pt idx="11">
                  <c:v>2018.III.</c:v>
                </c:pt>
                <c:pt idx="12">
                  <c:v>2018.IV.</c:v>
                </c:pt>
                <c:pt idx="13">
                  <c:v>2019.I.</c:v>
                </c:pt>
                <c:pt idx="14">
                  <c:v>2019.II.</c:v>
                </c:pt>
                <c:pt idx="15">
                  <c:v>2019.III.</c:v>
                </c:pt>
                <c:pt idx="16">
                  <c:v>2019.IV.</c:v>
                </c:pt>
                <c:pt idx="17">
                  <c:v>2020.I.</c:v>
                </c:pt>
                <c:pt idx="18">
                  <c:v>2020.II.</c:v>
                </c:pt>
                <c:pt idx="19">
                  <c:v>2020.III.</c:v>
                </c:pt>
                <c:pt idx="20">
                  <c:v>2020.IV.</c:v>
                </c:pt>
                <c:pt idx="21">
                  <c:v>2021.I.</c:v>
                </c:pt>
              </c:strCache>
            </c:strRef>
          </c:cat>
          <c:val>
            <c:numRef>
              <c:f>Idősorok_ábrák_Állományi!$E$320:$Z$320</c:f>
              <c:numCache>
                <c:formatCode>#,##0</c:formatCode>
                <c:ptCount val="22"/>
                <c:pt idx="0">
                  <c:v>41648.096647259998</c:v>
                </c:pt>
                <c:pt idx="1">
                  <c:v>45143.081831000003</c:v>
                </c:pt>
                <c:pt idx="2">
                  <c:v>51509.329144000003</c:v>
                </c:pt>
                <c:pt idx="3">
                  <c:v>58994.108231000006</c:v>
                </c:pt>
                <c:pt idx="4">
                  <c:v>57986.622282209995</c:v>
                </c:pt>
                <c:pt idx="5">
                  <c:v>64979.578405940003</c:v>
                </c:pt>
                <c:pt idx="6">
                  <c:v>53262.333029000001</c:v>
                </c:pt>
                <c:pt idx="7">
                  <c:v>52389.253880000004</c:v>
                </c:pt>
                <c:pt idx="8">
                  <c:v>67640</c:v>
                </c:pt>
                <c:pt idx="9">
                  <c:v>67640</c:v>
                </c:pt>
                <c:pt idx="10">
                  <c:v>77080</c:v>
                </c:pt>
                <c:pt idx="11">
                  <c:v>73328</c:v>
                </c:pt>
                <c:pt idx="12">
                  <c:v>75005</c:v>
                </c:pt>
                <c:pt idx="13">
                  <c:v>67356</c:v>
                </c:pt>
                <c:pt idx="14">
                  <c:v>68042</c:v>
                </c:pt>
                <c:pt idx="15">
                  <c:v>57634</c:v>
                </c:pt>
                <c:pt idx="16">
                  <c:v>48164</c:v>
                </c:pt>
                <c:pt idx="17">
                  <c:v>98587</c:v>
                </c:pt>
                <c:pt idx="18">
                  <c:v>51141</c:v>
                </c:pt>
                <c:pt idx="19">
                  <c:v>54357</c:v>
                </c:pt>
                <c:pt idx="20">
                  <c:v>50916</c:v>
                </c:pt>
                <c:pt idx="21">
                  <c:v>97179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C82D-4906-A05B-622D2CD4725B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572174400"/>
        <c:axId val="572176360"/>
      </c:barChart>
      <c:catAx>
        <c:axId val="572174400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ysClr val="windowText" lastClr="000000"/>
                </a:solidFill>
                <a:latin typeface="Times New Roman" panose="02020603050405020304" pitchFamily="18" charset="0"/>
                <a:cs typeface="Times New Roman" panose="02020603050405020304" pitchFamily="18" charset="0"/>
              </a:defRPr>
            </a:pPr>
            <a:endParaRPr lang="hu-HU"/>
          </a:p>
        </c:txPr>
        <c:crossAx val="572176360"/>
        <c:crosses val="autoZero"/>
        <c:auto val="1"/>
        <c:lblAlgn val="ctr"/>
        <c:lblOffset val="100"/>
        <c:noMultiLvlLbl val="0"/>
      </c:catAx>
      <c:valAx>
        <c:axId val="572176360"/>
        <c:scaling>
          <c:orientation val="minMax"/>
        </c:scaling>
        <c:delete val="0"/>
        <c:axPos val="l"/>
        <c:majorGridlines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ysClr val="windowText" lastClr="000000"/>
                </a:solidFill>
                <a:latin typeface="Times New Roman" panose="02020603050405020304" pitchFamily="18" charset="0"/>
                <a:cs typeface="Times New Roman" panose="02020603050405020304" pitchFamily="18" charset="0"/>
              </a:defRPr>
            </a:pPr>
            <a:endParaRPr lang="hu-HU"/>
          </a:p>
        </c:txPr>
        <c:crossAx val="572174400"/>
        <c:crosses val="autoZero"/>
        <c:crossBetween val="between"/>
        <c:dispUnits>
          <c:builtInUnit val="thousands"/>
        </c:dispUnits>
      </c:valAx>
    </c:plotArea>
    <c:legend>
      <c:legendPos val="b"/>
      <c:layout>
        <c:manualLayout>
          <c:xMode val="edge"/>
          <c:yMode val="edge"/>
          <c:x val="2.9978294067456311E-3"/>
          <c:y val="0.89723080784704823"/>
          <c:w val="0.99700217059325436"/>
          <c:h val="8.6723350742299157E-2"/>
        </c:manualLayout>
      </c:layout>
      <c:overlay val="0"/>
      <c:txPr>
        <a:bodyPr/>
        <a:lstStyle/>
        <a:p>
          <a:pPr>
            <a:defRPr>
              <a:solidFill>
                <a:sysClr val="windowText" lastClr="000000"/>
              </a:solidFill>
              <a:latin typeface="Times New Roman" panose="02020603050405020304" pitchFamily="18" charset="0"/>
              <a:cs typeface="Times New Roman" panose="02020603050405020304" pitchFamily="18" charset="0"/>
            </a:defRPr>
          </a:pPr>
          <a:endParaRPr lang="hu-HU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6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hu-H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Idősorok_ábrák_Új!$AC$103</c:f>
              <c:strCache>
                <c:ptCount val="1"/>
                <c:pt idx="0">
                  <c:v>Mg. Új beruházási hitelei - összes (millió Ft)</c:v>
                </c:pt>
              </c:strCache>
            </c:strRef>
          </c:tx>
          <c:spPr>
            <a:solidFill>
              <a:srgbClr val="9BBB59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 sz="800" b="1">
                    <a:latin typeface="Times New Roman" panose="02020603050405020304" pitchFamily="18" charset="0"/>
                    <a:cs typeface="Times New Roman" panose="02020603050405020304" pitchFamily="18" charset="0"/>
                  </a:defRPr>
                </a:pPr>
                <a:endParaRPr lang="hu-HU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trendline>
            <c:spPr>
              <a:ln w="25400">
                <a:solidFill>
                  <a:srgbClr val="00B0F0"/>
                </a:solidFill>
              </a:ln>
            </c:spPr>
            <c:trendlineType val="linear"/>
            <c:dispRSqr val="0"/>
            <c:dispEq val="0"/>
          </c:trendline>
          <c:trendline>
            <c:name>Trendvonal - mezőgazdaság</c:name>
            <c:spPr>
              <a:ln>
                <a:solidFill>
                  <a:srgbClr val="00B0F0"/>
                </a:solidFill>
              </a:ln>
            </c:spPr>
            <c:trendlineType val="linear"/>
            <c:dispRSqr val="0"/>
            <c:dispEq val="0"/>
          </c:trendline>
          <c:cat>
            <c:strRef>
              <c:f>Idősorok_ábrák_Új!$AD$102:$AX$102</c:f>
              <c:strCache>
                <c:ptCount val="21"/>
                <c:pt idx="0">
                  <c:v>2016. I. </c:v>
                </c:pt>
                <c:pt idx="1">
                  <c:v>2016.II.</c:v>
                </c:pt>
                <c:pt idx="2">
                  <c:v>2016.III.</c:v>
                </c:pt>
                <c:pt idx="3">
                  <c:v>2016.IV.</c:v>
                </c:pt>
                <c:pt idx="4">
                  <c:v>2017.I.</c:v>
                </c:pt>
                <c:pt idx="5">
                  <c:v>2017.II.</c:v>
                </c:pt>
                <c:pt idx="6">
                  <c:v>2017.III.</c:v>
                </c:pt>
                <c:pt idx="7">
                  <c:v>2017.IV.</c:v>
                </c:pt>
                <c:pt idx="8">
                  <c:v>2018.I.R</c:v>
                </c:pt>
                <c:pt idx="9">
                  <c:v>2018.I.Ú</c:v>
                </c:pt>
                <c:pt idx="10">
                  <c:v>2018.II.</c:v>
                </c:pt>
                <c:pt idx="11">
                  <c:v>2018.III.</c:v>
                </c:pt>
                <c:pt idx="12">
                  <c:v>2018.IV.</c:v>
                </c:pt>
                <c:pt idx="13">
                  <c:v>2019.I.</c:v>
                </c:pt>
                <c:pt idx="14">
                  <c:v>2019.II.</c:v>
                </c:pt>
                <c:pt idx="15">
                  <c:v>2019.III.</c:v>
                </c:pt>
                <c:pt idx="16">
                  <c:v>2019.IV.</c:v>
                </c:pt>
                <c:pt idx="17">
                  <c:v>2020.I.</c:v>
                </c:pt>
                <c:pt idx="18">
                  <c:v>2020.II.</c:v>
                </c:pt>
                <c:pt idx="19">
                  <c:v>2020.III.</c:v>
                </c:pt>
                <c:pt idx="20">
                  <c:v>2020.IV.</c:v>
                </c:pt>
              </c:strCache>
            </c:strRef>
          </c:cat>
          <c:val>
            <c:numRef>
              <c:f>Idősorok_ábrák_Új!$AD$103:$AX$103</c:f>
              <c:numCache>
                <c:formatCode>#,##0</c:formatCode>
                <c:ptCount val="21"/>
                <c:pt idx="0">
                  <c:v>5204.1869999999999</c:v>
                </c:pt>
                <c:pt idx="1">
                  <c:v>9715.3404690000007</c:v>
                </c:pt>
                <c:pt idx="2">
                  <c:v>41039.499668999997</c:v>
                </c:pt>
                <c:pt idx="3">
                  <c:v>91730.631406</c:v>
                </c:pt>
                <c:pt idx="4">
                  <c:v>40306.591185999998</c:v>
                </c:pt>
                <c:pt idx="5">
                  <c:v>25707.198417</c:v>
                </c:pt>
                <c:pt idx="6">
                  <c:v>9858.8594109999995</c:v>
                </c:pt>
                <c:pt idx="7">
                  <c:v>18019.777470000001</c:v>
                </c:pt>
                <c:pt idx="8">
                  <c:v>6668</c:v>
                </c:pt>
                <c:pt idx="9">
                  <c:v>9147</c:v>
                </c:pt>
                <c:pt idx="10">
                  <c:v>19657</c:v>
                </c:pt>
                <c:pt idx="11">
                  <c:v>17131</c:v>
                </c:pt>
                <c:pt idx="12">
                  <c:v>21619</c:v>
                </c:pt>
                <c:pt idx="13">
                  <c:v>20034</c:v>
                </c:pt>
                <c:pt idx="14">
                  <c:v>23099</c:v>
                </c:pt>
                <c:pt idx="15">
                  <c:v>26706</c:v>
                </c:pt>
                <c:pt idx="16">
                  <c:v>20589</c:v>
                </c:pt>
                <c:pt idx="17">
                  <c:v>15983</c:v>
                </c:pt>
                <c:pt idx="18">
                  <c:v>32481</c:v>
                </c:pt>
                <c:pt idx="19">
                  <c:v>33094</c:v>
                </c:pt>
                <c:pt idx="20">
                  <c:v>43902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19B4-49CB-AFFF-E97A2867F02B}"/>
            </c:ext>
          </c:extLst>
        </c:ser>
        <c:ser>
          <c:idx val="1"/>
          <c:order val="1"/>
          <c:tx>
            <c:strRef>
              <c:f>Idősorok_ábrák_Új!$AC$104</c:f>
              <c:strCache>
                <c:ptCount val="1"/>
                <c:pt idx="0">
                  <c:v>Élip ÚJ beruházási hitelei - összes (millió Ft)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 sz="800" b="1">
                    <a:latin typeface="Times New Roman" panose="02020603050405020304" pitchFamily="18" charset="0"/>
                    <a:cs typeface="Times New Roman" panose="02020603050405020304" pitchFamily="18" charset="0"/>
                  </a:defRPr>
                </a:pPr>
                <a:endParaRPr lang="hu-HU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trendline>
            <c:spPr>
              <a:ln w="25400">
                <a:solidFill>
                  <a:srgbClr val="F79646">
                    <a:lumMod val="75000"/>
                  </a:srgbClr>
                </a:solidFill>
              </a:ln>
            </c:spPr>
            <c:trendlineType val="linear"/>
            <c:dispRSqr val="0"/>
            <c:dispEq val="0"/>
          </c:trendline>
          <c:trendline>
            <c:name>Trendvonal - élelmiszeripar</c:name>
            <c:spPr>
              <a:ln>
                <a:solidFill>
                  <a:srgbClr val="F79646">
                    <a:lumMod val="75000"/>
                  </a:srgbClr>
                </a:solidFill>
              </a:ln>
            </c:spPr>
            <c:trendlineType val="linear"/>
            <c:dispRSqr val="0"/>
            <c:dispEq val="0"/>
          </c:trendline>
          <c:cat>
            <c:strRef>
              <c:f>Idősorok_ábrák_Új!$AD$102:$AX$102</c:f>
              <c:strCache>
                <c:ptCount val="21"/>
                <c:pt idx="0">
                  <c:v>2016. I. </c:v>
                </c:pt>
                <c:pt idx="1">
                  <c:v>2016.II.</c:v>
                </c:pt>
                <c:pt idx="2">
                  <c:v>2016.III.</c:v>
                </c:pt>
                <c:pt idx="3">
                  <c:v>2016.IV.</c:v>
                </c:pt>
                <c:pt idx="4">
                  <c:v>2017.I.</c:v>
                </c:pt>
                <c:pt idx="5">
                  <c:v>2017.II.</c:v>
                </c:pt>
                <c:pt idx="6">
                  <c:v>2017.III.</c:v>
                </c:pt>
                <c:pt idx="7">
                  <c:v>2017.IV.</c:v>
                </c:pt>
                <c:pt idx="8">
                  <c:v>2018.I.R</c:v>
                </c:pt>
                <c:pt idx="9">
                  <c:v>2018.I.Ú</c:v>
                </c:pt>
                <c:pt idx="10">
                  <c:v>2018.II.</c:v>
                </c:pt>
                <c:pt idx="11">
                  <c:v>2018.III.</c:v>
                </c:pt>
                <c:pt idx="12">
                  <c:v>2018.IV.</c:v>
                </c:pt>
                <c:pt idx="13">
                  <c:v>2019.I.</c:v>
                </c:pt>
                <c:pt idx="14">
                  <c:v>2019.II.</c:v>
                </c:pt>
                <c:pt idx="15">
                  <c:v>2019.III.</c:v>
                </c:pt>
                <c:pt idx="16">
                  <c:v>2019.IV.</c:v>
                </c:pt>
                <c:pt idx="17">
                  <c:v>2020.I.</c:v>
                </c:pt>
                <c:pt idx="18">
                  <c:v>2020.II.</c:v>
                </c:pt>
                <c:pt idx="19">
                  <c:v>2020.III.</c:v>
                </c:pt>
                <c:pt idx="20">
                  <c:v>2020.IV.</c:v>
                </c:pt>
              </c:strCache>
            </c:strRef>
          </c:cat>
          <c:val>
            <c:numRef>
              <c:f>Idősorok_ábrák_Új!$AD$104:$AX$104</c:f>
              <c:numCache>
                <c:formatCode>#,##0</c:formatCode>
                <c:ptCount val="21"/>
                <c:pt idx="0">
                  <c:v>4422.8846404200003</c:v>
                </c:pt>
                <c:pt idx="1">
                  <c:v>14358.2680271472</c:v>
                </c:pt>
                <c:pt idx="2">
                  <c:v>11359.9812459685</c:v>
                </c:pt>
                <c:pt idx="3">
                  <c:v>18653.927037397199</c:v>
                </c:pt>
                <c:pt idx="4">
                  <c:v>8810.1498499750014</c:v>
                </c:pt>
                <c:pt idx="5">
                  <c:v>25813.940797323801</c:v>
                </c:pt>
                <c:pt idx="6">
                  <c:v>11500.744528347899</c:v>
                </c:pt>
                <c:pt idx="7">
                  <c:v>16659.617324504998</c:v>
                </c:pt>
                <c:pt idx="8">
                  <c:v>10756.01</c:v>
                </c:pt>
                <c:pt idx="9">
                  <c:v>10902</c:v>
                </c:pt>
                <c:pt idx="10">
                  <c:v>19957</c:v>
                </c:pt>
                <c:pt idx="11">
                  <c:v>12321</c:v>
                </c:pt>
                <c:pt idx="12">
                  <c:v>67600</c:v>
                </c:pt>
                <c:pt idx="13">
                  <c:v>15933</c:v>
                </c:pt>
                <c:pt idx="14">
                  <c:v>18930</c:v>
                </c:pt>
                <c:pt idx="15">
                  <c:v>11451</c:v>
                </c:pt>
                <c:pt idx="16">
                  <c:v>29246</c:v>
                </c:pt>
                <c:pt idx="17">
                  <c:v>9128</c:v>
                </c:pt>
                <c:pt idx="18">
                  <c:v>8172</c:v>
                </c:pt>
                <c:pt idx="19">
                  <c:v>8167</c:v>
                </c:pt>
                <c:pt idx="20">
                  <c:v>9343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19B4-49CB-AFFF-E97A2867F02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72176752"/>
        <c:axId val="572177536"/>
      </c:barChart>
      <c:catAx>
        <c:axId val="57217675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/>
                </a:solidFill>
                <a:latin typeface="Times New Roman" panose="02020603050405020304" pitchFamily="18" charset="0"/>
                <a:cs typeface="Times New Roman" panose="02020603050405020304" pitchFamily="18" charset="0"/>
              </a:defRPr>
            </a:pPr>
            <a:endParaRPr lang="hu-HU"/>
          </a:p>
        </c:txPr>
        <c:crossAx val="572177536"/>
        <c:crosses val="autoZero"/>
        <c:auto val="1"/>
        <c:lblAlgn val="ctr"/>
        <c:lblOffset val="100"/>
        <c:noMultiLvlLbl val="0"/>
      </c:catAx>
      <c:valAx>
        <c:axId val="572177536"/>
        <c:scaling>
          <c:orientation val="minMax"/>
        </c:scaling>
        <c:delete val="0"/>
        <c:axPos val="l"/>
        <c:majorGridlines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/>
                </a:solidFill>
                <a:latin typeface="Times New Roman" panose="02020603050405020304" pitchFamily="18" charset="0"/>
                <a:cs typeface="Times New Roman" panose="02020603050405020304" pitchFamily="18" charset="0"/>
              </a:defRPr>
            </a:pPr>
            <a:endParaRPr lang="hu-HU"/>
          </a:p>
        </c:txPr>
        <c:crossAx val="572176752"/>
        <c:crosses val="autoZero"/>
        <c:crossBetween val="between"/>
      </c:valAx>
    </c:plotArea>
    <c:legend>
      <c:legendPos val="b"/>
      <c:legendEntry>
        <c:idx val="2"/>
        <c:delete val="1"/>
      </c:legendEntry>
      <c:legendEntry>
        <c:idx val="3"/>
        <c:delete val="1"/>
      </c:legendEntry>
      <c:overlay val="0"/>
    </c:legend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6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hu-H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Idősorok_ábrák_Új!$AC$103</c:f>
              <c:strCache>
                <c:ptCount val="1"/>
                <c:pt idx="0">
                  <c:v>Mg. Új beruházási hitelei - összes (millió Ft)</c:v>
                </c:pt>
              </c:strCache>
            </c:strRef>
          </c:tx>
          <c:invertIfNegative val="0"/>
          <c:trendline>
            <c:spPr>
              <a:ln w="25400">
                <a:solidFill>
                  <a:srgbClr val="00B050"/>
                </a:solidFill>
              </a:ln>
            </c:spPr>
            <c:trendlineType val="linear"/>
            <c:dispRSqr val="0"/>
            <c:dispEq val="0"/>
          </c:trendline>
          <c:cat>
            <c:strRef>
              <c:f>Idősorok_ábrák_Új!$AD$102:$AX$102</c:f>
              <c:strCache>
                <c:ptCount val="21"/>
                <c:pt idx="0">
                  <c:v>2016. I. </c:v>
                </c:pt>
                <c:pt idx="1">
                  <c:v>2016.II.</c:v>
                </c:pt>
                <c:pt idx="2">
                  <c:v>2016.III.</c:v>
                </c:pt>
                <c:pt idx="3">
                  <c:v>2016.IV.</c:v>
                </c:pt>
                <c:pt idx="4">
                  <c:v>2017.I.</c:v>
                </c:pt>
                <c:pt idx="5">
                  <c:v>2017.II.</c:v>
                </c:pt>
                <c:pt idx="6">
                  <c:v>2017.III.</c:v>
                </c:pt>
                <c:pt idx="7">
                  <c:v>2017.IV.</c:v>
                </c:pt>
                <c:pt idx="8">
                  <c:v>2018.I.R</c:v>
                </c:pt>
                <c:pt idx="9">
                  <c:v>2018.I.Ú</c:v>
                </c:pt>
                <c:pt idx="10">
                  <c:v>2018.II.</c:v>
                </c:pt>
                <c:pt idx="11">
                  <c:v>2018.III.</c:v>
                </c:pt>
                <c:pt idx="12">
                  <c:v>2018.IV.</c:v>
                </c:pt>
                <c:pt idx="13">
                  <c:v>2019.I.</c:v>
                </c:pt>
                <c:pt idx="14">
                  <c:v>2019.II.</c:v>
                </c:pt>
                <c:pt idx="15">
                  <c:v>2019.III.</c:v>
                </c:pt>
                <c:pt idx="16">
                  <c:v>2019.IV.</c:v>
                </c:pt>
                <c:pt idx="17">
                  <c:v>2020.I.</c:v>
                </c:pt>
                <c:pt idx="18">
                  <c:v>2020.II.</c:v>
                </c:pt>
                <c:pt idx="19">
                  <c:v>2020.III.</c:v>
                </c:pt>
                <c:pt idx="20">
                  <c:v>2020.IV.</c:v>
                </c:pt>
              </c:strCache>
            </c:strRef>
          </c:cat>
          <c:val>
            <c:numRef>
              <c:f>Idősorok_ábrák_Új!$AD$103:$AX$103</c:f>
              <c:numCache>
                <c:formatCode>#,##0</c:formatCode>
                <c:ptCount val="21"/>
                <c:pt idx="0">
                  <c:v>5204.1869999999999</c:v>
                </c:pt>
                <c:pt idx="1">
                  <c:v>9715.3404690000007</c:v>
                </c:pt>
                <c:pt idx="2">
                  <c:v>41039.499668999997</c:v>
                </c:pt>
                <c:pt idx="3">
                  <c:v>91730.631406</c:v>
                </c:pt>
                <c:pt idx="4">
                  <c:v>40306.591185999998</c:v>
                </c:pt>
                <c:pt idx="5">
                  <c:v>25707.198417</c:v>
                </c:pt>
                <c:pt idx="6">
                  <c:v>9858.8594109999995</c:v>
                </c:pt>
                <c:pt idx="7">
                  <c:v>18019.777470000001</c:v>
                </c:pt>
                <c:pt idx="8">
                  <c:v>6668</c:v>
                </c:pt>
                <c:pt idx="9">
                  <c:v>9147</c:v>
                </c:pt>
                <c:pt idx="10">
                  <c:v>19657</c:v>
                </c:pt>
                <c:pt idx="11">
                  <c:v>17131</c:v>
                </c:pt>
                <c:pt idx="12">
                  <c:v>21619</c:v>
                </c:pt>
                <c:pt idx="13">
                  <c:v>20034</c:v>
                </c:pt>
                <c:pt idx="14">
                  <c:v>23099</c:v>
                </c:pt>
                <c:pt idx="15">
                  <c:v>26706</c:v>
                </c:pt>
                <c:pt idx="16">
                  <c:v>20589</c:v>
                </c:pt>
                <c:pt idx="17">
                  <c:v>15983</c:v>
                </c:pt>
                <c:pt idx="18">
                  <c:v>32481</c:v>
                </c:pt>
                <c:pt idx="19">
                  <c:v>33094</c:v>
                </c:pt>
                <c:pt idx="20">
                  <c:v>43902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805E-4BC0-863E-7D534F30586B}"/>
            </c:ext>
          </c:extLst>
        </c:ser>
        <c:ser>
          <c:idx val="1"/>
          <c:order val="1"/>
          <c:tx>
            <c:strRef>
              <c:f>Idősorok_ábrák_Új!$AC$104</c:f>
              <c:strCache>
                <c:ptCount val="1"/>
                <c:pt idx="0">
                  <c:v>Élip ÚJ beruházási hitelei - összes (millió Ft)</c:v>
                </c:pt>
              </c:strCache>
            </c:strRef>
          </c:tx>
          <c:invertIfNegative val="0"/>
          <c:trendline>
            <c:spPr>
              <a:ln w="25400">
                <a:solidFill>
                  <a:schemeClr val="accent6">
                    <a:lumMod val="75000"/>
                  </a:schemeClr>
                </a:solidFill>
              </a:ln>
            </c:spPr>
            <c:trendlineType val="linear"/>
            <c:dispRSqr val="0"/>
            <c:dispEq val="0"/>
          </c:trendline>
          <c:cat>
            <c:strRef>
              <c:f>Idősorok_ábrák_Új!$AD$102:$AX$102</c:f>
              <c:strCache>
                <c:ptCount val="21"/>
                <c:pt idx="0">
                  <c:v>2016. I. </c:v>
                </c:pt>
                <c:pt idx="1">
                  <c:v>2016.II.</c:v>
                </c:pt>
                <c:pt idx="2">
                  <c:v>2016.III.</c:v>
                </c:pt>
                <c:pt idx="3">
                  <c:v>2016.IV.</c:v>
                </c:pt>
                <c:pt idx="4">
                  <c:v>2017.I.</c:v>
                </c:pt>
                <c:pt idx="5">
                  <c:v>2017.II.</c:v>
                </c:pt>
                <c:pt idx="6">
                  <c:v>2017.III.</c:v>
                </c:pt>
                <c:pt idx="7">
                  <c:v>2017.IV.</c:v>
                </c:pt>
                <c:pt idx="8">
                  <c:v>2018.I.R</c:v>
                </c:pt>
                <c:pt idx="9">
                  <c:v>2018.I.Ú</c:v>
                </c:pt>
                <c:pt idx="10">
                  <c:v>2018.II.</c:v>
                </c:pt>
                <c:pt idx="11">
                  <c:v>2018.III.</c:v>
                </c:pt>
                <c:pt idx="12">
                  <c:v>2018.IV.</c:v>
                </c:pt>
                <c:pt idx="13">
                  <c:v>2019.I.</c:v>
                </c:pt>
                <c:pt idx="14">
                  <c:v>2019.II.</c:v>
                </c:pt>
                <c:pt idx="15">
                  <c:v>2019.III.</c:v>
                </c:pt>
                <c:pt idx="16">
                  <c:v>2019.IV.</c:v>
                </c:pt>
                <c:pt idx="17">
                  <c:v>2020.I.</c:v>
                </c:pt>
                <c:pt idx="18">
                  <c:v>2020.II.</c:v>
                </c:pt>
                <c:pt idx="19">
                  <c:v>2020.III.</c:v>
                </c:pt>
                <c:pt idx="20">
                  <c:v>2020.IV.</c:v>
                </c:pt>
              </c:strCache>
            </c:strRef>
          </c:cat>
          <c:val>
            <c:numRef>
              <c:f>Idősorok_ábrák_Új!$AD$104:$AX$104</c:f>
              <c:numCache>
                <c:formatCode>#,##0</c:formatCode>
                <c:ptCount val="21"/>
                <c:pt idx="0">
                  <c:v>4422.8846404200003</c:v>
                </c:pt>
                <c:pt idx="1">
                  <c:v>14358.2680271472</c:v>
                </c:pt>
                <c:pt idx="2">
                  <c:v>11359.9812459685</c:v>
                </c:pt>
                <c:pt idx="3">
                  <c:v>18653.927037397199</c:v>
                </c:pt>
                <c:pt idx="4">
                  <c:v>8810.1498499750014</c:v>
                </c:pt>
                <c:pt idx="5">
                  <c:v>25813.940797323801</c:v>
                </c:pt>
                <c:pt idx="6">
                  <c:v>11500.744528347899</c:v>
                </c:pt>
                <c:pt idx="7">
                  <c:v>16659.617324504998</c:v>
                </c:pt>
                <c:pt idx="8">
                  <c:v>10756.01</c:v>
                </c:pt>
                <c:pt idx="9">
                  <c:v>10902</c:v>
                </c:pt>
                <c:pt idx="10">
                  <c:v>19957</c:v>
                </c:pt>
                <c:pt idx="11">
                  <c:v>12321</c:v>
                </c:pt>
                <c:pt idx="12">
                  <c:v>67600</c:v>
                </c:pt>
                <c:pt idx="13">
                  <c:v>15933</c:v>
                </c:pt>
                <c:pt idx="14">
                  <c:v>18930</c:v>
                </c:pt>
                <c:pt idx="15">
                  <c:v>11451</c:v>
                </c:pt>
                <c:pt idx="16">
                  <c:v>29246</c:v>
                </c:pt>
                <c:pt idx="17">
                  <c:v>9128</c:v>
                </c:pt>
                <c:pt idx="18">
                  <c:v>8172</c:v>
                </c:pt>
                <c:pt idx="19">
                  <c:v>8167</c:v>
                </c:pt>
                <c:pt idx="20">
                  <c:v>9343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805E-4BC0-863E-7D534F30586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72189688"/>
        <c:axId val="572188904"/>
      </c:barChart>
      <c:catAx>
        <c:axId val="572189688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572188904"/>
        <c:crosses val="autoZero"/>
        <c:auto val="1"/>
        <c:lblAlgn val="ctr"/>
        <c:lblOffset val="100"/>
        <c:noMultiLvlLbl val="0"/>
      </c:catAx>
      <c:valAx>
        <c:axId val="572188904"/>
        <c:scaling>
          <c:orientation val="minMax"/>
        </c:scaling>
        <c:delete val="0"/>
        <c:axPos val="l"/>
        <c:majorGridlines/>
        <c:numFmt formatCode="#,##0" sourceLinked="1"/>
        <c:majorTickMark val="out"/>
        <c:minorTickMark val="none"/>
        <c:tickLblPos val="nextTo"/>
        <c:crossAx val="572189688"/>
        <c:crosses val="autoZero"/>
        <c:crossBetween val="between"/>
      </c:valAx>
    </c:plotArea>
    <c:legend>
      <c:legendPos val="b"/>
      <c:overlay val="0"/>
    </c:legend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6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hu-H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/>
            </a:pPr>
            <a:r>
              <a:rPr lang="hu-HU" sz="1400"/>
              <a:t>A mezőgazdaságban működő e</a:t>
            </a:r>
            <a:r>
              <a:rPr lang="en-US" sz="1400"/>
              <a:t>gyéni gazdaságok </a:t>
            </a:r>
            <a:r>
              <a:rPr lang="hu-HU" sz="1400"/>
              <a:t> számára folyósított beruházási hitelek alakulása </a:t>
            </a:r>
            <a:r>
              <a:rPr lang="en-US" sz="1400"/>
              <a:t>(millió </a:t>
            </a:r>
            <a:r>
              <a:rPr lang="hu-HU" sz="1400"/>
              <a:t>forin</a:t>
            </a:r>
            <a:r>
              <a:rPr lang="en-US" sz="1400"/>
              <a:t>t)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3">
                <a:lumMod val="75000"/>
              </a:schemeClr>
            </a:solidFill>
          </c:spPr>
          <c:invertIfNegative val="0"/>
          <c:dLbls>
            <c:dLbl>
              <c:idx val="0"/>
              <c:layout>
                <c:manualLayout>
                  <c:x val="0"/>
                  <c:y val="6.275475666231057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0-63FA-4379-A257-CB6CE0D97691}"/>
                </c:ex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0"/>
                  <c:y val="1.9728503558635129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63FA-4379-A257-CB6CE0D97691}"/>
                </c:ex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0"/>
                  <c:y val="2.2054280219487868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2-63FA-4379-A257-CB6CE0D97691}"/>
                </c:ex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9.7453314682661692E-4"/>
                  <c:y val="2.0048674611788754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63FA-4379-A257-CB6CE0D97691}"/>
                </c:ex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9.7453314682661692E-4"/>
                  <c:y val="1.9622087435300688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4-63FA-4379-A257-CB6CE0D97691}"/>
                </c:ex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1.9490662936532338E-3"/>
                  <c:y val="6.018969750448039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5-63FA-4379-A257-CB6CE0D97691}"/>
                </c:ex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-4.248771116209311E-5"/>
                  <c:y val="1.4771849675230909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6-63FA-4379-A257-CB6CE0D97691}"/>
                </c:ex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1.9490662936532338E-3"/>
                  <c:y val="2.1855595781123564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7-63FA-4379-A257-CB6CE0D97691}"/>
                </c:ex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 val="0"/>
                  <c:y val="1.5833857981224629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8-63FA-4379-A257-CB6CE0D97691}"/>
                </c:ext>
                <c:ext xmlns:c15="http://schemas.microsoft.com/office/drawing/2012/chart" uri="{CE6537A1-D6FC-4f65-9D91-7224C49458BB}"/>
              </c:extLst>
            </c:dLbl>
            <c:dLbl>
              <c:idx val="9"/>
              <c:layout>
                <c:manualLayout>
                  <c:x val="2.9235994404798508E-3"/>
                  <c:y val="1.312609049614826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9-63FA-4379-A257-CB6CE0D97691}"/>
                </c:ext>
                <c:ext xmlns:c15="http://schemas.microsoft.com/office/drawing/2012/chart" uri="{CE6537A1-D6FC-4f65-9D91-7224C49458BB}"/>
              </c:extLst>
            </c:dLbl>
            <c:dLbl>
              <c:idx val="10"/>
              <c:layout>
                <c:manualLayout>
                  <c:x val="0"/>
                  <c:y val="1.9018266650269278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A-63FA-4379-A257-CB6CE0D97691}"/>
                </c:ext>
                <c:ext xmlns:c15="http://schemas.microsoft.com/office/drawing/2012/chart" uri="{CE6537A1-D6FC-4f65-9D91-7224C49458BB}"/>
              </c:extLst>
            </c:dLbl>
            <c:dLbl>
              <c:idx val="11"/>
              <c:layout>
                <c:manualLayout>
                  <c:x val="0"/>
                  <c:y val="1.259675344173506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B-63FA-4379-A257-CB6CE0D97691}"/>
                </c:ext>
                <c:ext xmlns:c15="http://schemas.microsoft.com/office/drawing/2012/chart" uri="{CE6537A1-D6FC-4f65-9D91-7224C49458BB}"/>
              </c:extLst>
            </c:dLbl>
            <c:dLbl>
              <c:idx val="12"/>
              <c:layout>
                <c:manualLayout>
                  <c:x val="-9.3033436510100423E-4"/>
                  <c:y val="8.0181165760950638E-4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C-63FA-4379-A257-CB6CE0D97691}"/>
                </c:ext>
                <c:ext xmlns:c15="http://schemas.microsoft.com/office/drawing/2012/chart" uri="{CE6537A1-D6FC-4f65-9D91-7224C49458BB}"/>
              </c:extLst>
            </c:dLbl>
            <c:dLbl>
              <c:idx val="13"/>
              <c:layout>
                <c:manualLayout>
                  <c:x val="0"/>
                  <c:y val="-7.010239014918863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D-63FA-4379-A257-CB6CE0D97691}"/>
                </c:ext>
                <c:ext xmlns:c15="http://schemas.microsoft.com/office/drawing/2012/chart" uri="{CE6537A1-D6FC-4f65-9D91-7224C49458BB}"/>
              </c:extLst>
            </c:dLbl>
            <c:dLbl>
              <c:idx val="14"/>
              <c:layout>
                <c:manualLayout>
                  <c:x val="0"/>
                  <c:y val="5.589997353372845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0-6930-4A6F-A6CB-A94B0C53C946}"/>
                </c:ext>
                <c:ext xmlns:c15="http://schemas.microsoft.com/office/drawing/2012/chart" uri="{CE6537A1-D6FC-4f65-9D91-7224C49458BB}"/>
              </c:extLst>
            </c:dLbl>
            <c:dLbl>
              <c:idx val="15"/>
              <c:layout>
                <c:manualLayout>
                  <c:x val="0"/>
                  <c:y val="4.104431342234802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6930-4A6F-A6CB-A94B0C53C946}"/>
                </c:ext>
                <c:ext xmlns:c15="http://schemas.microsoft.com/office/drawing/2012/chart" uri="{CE6537A1-D6FC-4f65-9D91-7224C49458BB}"/>
              </c:extLst>
            </c:dLbl>
            <c:dLbl>
              <c:idx val="16"/>
              <c:layout>
                <c:manualLayout>
                  <c:x val="0"/>
                  <c:y val="-5.442242760487645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2-6930-4A6F-A6CB-A94B0C53C946}"/>
                </c:ext>
                <c:ext xmlns:c15="http://schemas.microsoft.com/office/drawing/2012/chart" uri="{CE6537A1-D6FC-4f65-9D91-7224C49458BB}"/>
              </c:extLst>
            </c:dLbl>
            <c:dLbl>
              <c:idx val="17"/>
              <c:layout>
                <c:manualLayout>
                  <c:x val="-8.2550318644229964E-4"/>
                  <c:y val="-1.3516614834314353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6930-4A6F-A6CB-A94B0C53C946}"/>
                </c:ext>
                <c:ext xmlns:c15="http://schemas.microsoft.com/office/drawing/2012/chart" uri="{CE6537A1-D6FC-4f65-9D91-7224C49458BB}"/>
              </c:extLst>
            </c:dLbl>
            <c:dLbl>
              <c:idx val="18"/>
              <c:layout>
                <c:manualLayout>
                  <c:x val="0"/>
                  <c:y val="2.574137949116896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4-6930-4A6F-A6CB-A94B0C53C946}"/>
                </c:ext>
                <c:ext xmlns:c15="http://schemas.microsoft.com/office/drawing/2012/chart" uri="{CE6537A1-D6FC-4f65-9D91-7224C49458BB}"/>
              </c:extLst>
            </c:dLbl>
            <c:dLbl>
              <c:idx val="19"/>
              <c:layout>
                <c:manualLayout>
                  <c:x val="1.2107240203948408E-16"/>
                  <c:y val="-1.551885922349563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5-6930-4A6F-A6CB-A94B0C53C946}"/>
                </c:ext>
                <c:ext xmlns:c15="http://schemas.microsoft.com/office/drawing/2012/chart" uri="{CE6537A1-D6FC-4f65-9D91-7224C49458BB}"/>
              </c:extLst>
            </c:dLbl>
            <c:dLbl>
              <c:idx val="20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6-6930-4A6F-A6CB-A94B0C53C946}"/>
                </c:ex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1">
                    <a:latin typeface="Times New Roman" panose="02020603050405020304" pitchFamily="18" charset="0"/>
                    <a:cs typeface="Times New Roman" panose="02020603050405020304" pitchFamily="18" charset="0"/>
                  </a:defRPr>
                </a:pPr>
                <a:endParaRPr lang="hu-HU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Idősorok_ábrák_Új!$AE$178:$AY$178</c:f>
              <c:strCache>
                <c:ptCount val="21"/>
                <c:pt idx="0">
                  <c:v>2016. I. </c:v>
                </c:pt>
                <c:pt idx="1">
                  <c:v>2016.II.</c:v>
                </c:pt>
                <c:pt idx="2">
                  <c:v>2016.III.</c:v>
                </c:pt>
                <c:pt idx="3">
                  <c:v>2016.IV.</c:v>
                </c:pt>
                <c:pt idx="4">
                  <c:v>2017.I.</c:v>
                </c:pt>
                <c:pt idx="5">
                  <c:v>2017.II.</c:v>
                </c:pt>
                <c:pt idx="6">
                  <c:v>2017.III.</c:v>
                </c:pt>
                <c:pt idx="7">
                  <c:v>2017.IV.</c:v>
                </c:pt>
                <c:pt idx="8">
                  <c:v>2018.I.R</c:v>
                </c:pt>
                <c:pt idx="9">
                  <c:v>2018.I.Ú</c:v>
                </c:pt>
                <c:pt idx="10">
                  <c:v>2018.II.</c:v>
                </c:pt>
                <c:pt idx="11">
                  <c:v>2018.III.</c:v>
                </c:pt>
                <c:pt idx="12">
                  <c:v>2018.IV.</c:v>
                </c:pt>
                <c:pt idx="13">
                  <c:v>2019.I.</c:v>
                </c:pt>
                <c:pt idx="14">
                  <c:v>2019.II.</c:v>
                </c:pt>
                <c:pt idx="15">
                  <c:v>2019.III.</c:v>
                </c:pt>
                <c:pt idx="16">
                  <c:v>2019.IV.</c:v>
                </c:pt>
                <c:pt idx="17">
                  <c:v>2020.I.</c:v>
                </c:pt>
                <c:pt idx="18">
                  <c:v>2020.II.</c:v>
                </c:pt>
                <c:pt idx="19">
                  <c:v>2020.III.</c:v>
                </c:pt>
                <c:pt idx="20">
                  <c:v>2020.IV.</c:v>
                </c:pt>
              </c:strCache>
            </c:strRef>
          </c:cat>
          <c:val>
            <c:numRef>
              <c:f>Idősorok_ábrák_Új!$AE$179:$AY$179</c:f>
              <c:numCache>
                <c:formatCode>#,##0</c:formatCode>
                <c:ptCount val="21"/>
                <c:pt idx="0">
                  <c:v>2347.5529999999999</c:v>
                </c:pt>
                <c:pt idx="1">
                  <c:v>4856.6587440000003</c:v>
                </c:pt>
                <c:pt idx="2">
                  <c:v>35484.455078999999</c:v>
                </c:pt>
                <c:pt idx="3">
                  <c:v>86540.004106000008</c:v>
                </c:pt>
                <c:pt idx="4">
                  <c:v>35505.234837999997</c:v>
                </c:pt>
                <c:pt idx="5">
                  <c:v>12666.494439</c:v>
                </c:pt>
                <c:pt idx="6">
                  <c:v>5785.9058500000001</c:v>
                </c:pt>
                <c:pt idx="7">
                  <c:v>11830.99847</c:v>
                </c:pt>
                <c:pt idx="8">
                  <c:v>3093</c:v>
                </c:pt>
                <c:pt idx="9">
                  <c:v>4687</c:v>
                </c:pt>
                <c:pt idx="10">
                  <c:v>9074</c:v>
                </c:pt>
                <c:pt idx="11">
                  <c:v>7527</c:v>
                </c:pt>
                <c:pt idx="12">
                  <c:v>8115</c:v>
                </c:pt>
                <c:pt idx="13">
                  <c:v>8827</c:v>
                </c:pt>
                <c:pt idx="14">
                  <c:v>8656</c:v>
                </c:pt>
                <c:pt idx="15">
                  <c:v>10037</c:v>
                </c:pt>
                <c:pt idx="16">
                  <c:v>7699</c:v>
                </c:pt>
                <c:pt idx="17">
                  <c:v>6086</c:v>
                </c:pt>
                <c:pt idx="18">
                  <c:v>11412</c:v>
                </c:pt>
                <c:pt idx="19">
                  <c:v>10857</c:v>
                </c:pt>
                <c:pt idx="20">
                  <c:v>12604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E-63FA-4379-A257-CB6CE0D9769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72187336"/>
        <c:axId val="572197920"/>
      </c:barChart>
      <c:catAx>
        <c:axId val="57218733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>
                <a:latin typeface="Times New Roman" panose="02020603050405020304" pitchFamily="18" charset="0"/>
                <a:cs typeface="Times New Roman" panose="02020603050405020304" pitchFamily="18" charset="0"/>
              </a:defRPr>
            </a:pPr>
            <a:endParaRPr lang="hu-HU"/>
          </a:p>
        </c:txPr>
        <c:crossAx val="572197920"/>
        <c:crosses val="autoZero"/>
        <c:auto val="1"/>
        <c:lblAlgn val="ctr"/>
        <c:lblOffset val="100"/>
        <c:noMultiLvlLbl val="0"/>
      </c:catAx>
      <c:valAx>
        <c:axId val="572197920"/>
        <c:scaling>
          <c:orientation val="minMax"/>
        </c:scaling>
        <c:delete val="0"/>
        <c:axPos val="l"/>
        <c:majorGridlines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latin typeface="Times New Roman" panose="02020603050405020304" pitchFamily="18" charset="0"/>
                <a:cs typeface="Times New Roman" panose="02020603050405020304" pitchFamily="18" charset="0"/>
              </a:defRPr>
            </a:pPr>
            <a:endParaRPr lang="hu-HU"/>
          </a:p>
        </c:txPr>
        <c:crossAx val="572187336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6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hu-H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Idősorok_ábrák_Új!$D$57</c:f>
              <c:strCache>
                <c:ptCount val="1"/>
                <c:pt idx="0">
                  <c:v>2017</c:v>
                </c:pt>
              </c:strCache>
            </c:strRef>
          </c:tx>
          <c:spPr>
            <a:solidFill>
              <a:schemeClr val="accent6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Idősorok_ábrák_Új!$E$56:$I$56</c:f>
              <c:strCache>
                <c:ptCount val="5"/>
                <c:pt idx="0">
                  <c:v>Beruházási hitelek</c:v>
                </c:pt>
                <c:pt idx="1">
                  <c:v>Hosszú lejáratú
forgóeszköz hitelek</c:v>
                </c:pt>
                <c:pt idx="2">
                  <c:v>Forint
folyószámla hitelek</c:v>
                </c:pt>
                <c:pt idx="3">
                  <c:v>Egyéb éven belüli hitelek</c:v>
                </c:pt>
                <c:pt idx="4">
                  <c:v>Egyéb hitelek</c:v>
                </c:pt>
              </c:strCache>
            </c:strRef>
          </c:cat>
          <c:val>
            <c:numRef>
              <c:f>Idősorok_ábrák_Új!$E$57:$I$57</c:f>
              <c:numCache>
                <c:formatCode>#,##0.00</c:formatCode>
                <c:ptCount val="5"/>
                <c:pt idx="0">
                  <c:v>93.891999999999996</c:v>
                </c:pt>
                <c:pt idx="1">
                  <c:v>87.272000000000006</c:v>
                </c:pt>
                <c:pt idx="2">
                  <c:v>30.12</c:v>
                </c:pt>
                <c:pt idx="3">
                  <c:v>67.046999999999997</c:v>
                </c:pt>
                <c:pt idx="4">
                  <c:v>23.866898647999999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89DE-4D61-8F9A-9C59F980616D}"/>
            </c:ext>
          </c:extLst>
        </c:ser>
        <c:ser>
          <c:idx val="1"/>
          <c:order val="1"/>
          <c:tx>
            <c:strRef>
              <c:f>Idősorok_ábrák_Új!$D$58</c:f>
              <c:strCache>
                <c:ptCount val="1"/>
                <c:pt idx="0">
                  <c:v>2018</c:v>
                </c:pt>
              </c:strCache>
            </c:strRef>
          </c:tx>
          <c:spPr>
            <a:solidFill>
              <a:schemeClr val="accent3">
                <a:lumMod val="75000"/>
              </a:schemeClr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Idősorok_ábrák_Új!$E$56:$I$56</c:f>
              <c:strCache>
                <c:ptCount val="5"/>
                <c:pt idx="0">
                  <c:v>Beruházási hitelek</c:v>
                </c:pt>
                <c:pt idx="1">
                  <c:v>Hosszú lejáratú
forgóeszköz hitelek</c:v>
                </c:pt>
                <c:pt idx="2">
                  <c:v>Forint
folyószámla hitelek</c:v>
                </c:pt>
                <c:pt idx="3">
                  <c:v>Egyéb éven belüli hitelek</c:v>
                </c:pt>
                <c:pt idx="4">
                  <c:v>Egyéb hitelek</c:v>
                </c:pt>
              </c:strCache>
            </c:strRef>
          </c:cat>
          <c:val>
            <c:numRef>
              <c:f>Idősorok_ábrák_Új!$E$58:$I$58</c:f>
              <c:numCache>
                <c:formatCode>#,##0.00</c:formatCode>
                <c:ptCount val="5"/>
                <c:pt idx="0">
                  <c:v>48.506</c:v>
                </c:pt>
                <c:pt idx="1">
                  <c:v>43.03</c:v>
                </c:pt>
                <c:pt idx="2">
                  <c:v>33.856999999999999</c:v>
                </c:pt>
                <c:pt idx="3">
                  <c:v>65.156999999999996</c:v>
                </c:pt>
                <c:pt idx="4">
                  <c:v>40.747999999999998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89DE-4D61-8F9A-9C59F980616D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572190864"/>
        <c:axId val="572192040"/>
      </c:barChart>
      <c:catAx>
        <c:axId val="572190864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572192040"/>
        <c:crosses val="autoZero"/>
        <c:auto val="1"/>
        <c:lblAlgn val="ctr"/>
        <c:lblOffset val="100"/>
        <c:noMultiLvlLbl val="0"/>
      </c:catAx>
      <c:valAx>
        <c:axId val="572192040"/>
        <c:scaling>
          <c:orientation val="minMax"/>
        </c:scaling>
        <c:delete val="0"/>
        <c:axPos val="l"/>
        <c:majorGridlines/>
        <c:numFmt formatCode="#,##0.00" sourceLinked="1"/>
        <c:majorTickMark val="out"/>
        <c:minorTickMark val="none"/>
        <c:tickLblPos val="nextTo"/>
        <c:crossAx val="572190864"/>
        <c:crosses val="autoZero"/>
        <c:crossBetween val="between"/>
      </c:valAx>
    </c:plotArea>
    <c:legend>
      <c:legendPos val="b"/>
      <c:overlay val="0"/>
    </c:legend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6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hu-H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Idősorok_ábrák_Új!$D$63</c:f>
              <c:strCache>
                <c:ptCount val="1"/>
                <c:pt idx="0">
                  <c:v>2017</c:v>
                </c:pt>
              </c:strCache>
            </c:strRef>
          </c:tx>
          <c:spPr>
            <a:solidFill>
              <a:schemeClr val="accent6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Idősorok_ábrák_Új!$E$62:$I$62</c:f>
              <c:strCache>
                <c:ptCount val="5"/>
                <c:pt idx="0">
                  <c:v>Beruházási hitelek</c:v>
                </c:pt>
                <c:pt idx="1">
                  <c:v>Hosszú lejáratú
forgóeszköz hitelek</c:v>
                </c:pt>
                <c:pt idx="2">
                  <c:v>Forint
folyószámla hitelek</c:v>
                </c:pt>
                <c:pt idx="3">
                  <c:v>Egyéb éven belüli hitelek</c:v>
                </c:pt>
                <c:pt idx="4">
                  <c:v>Egyéb hitelek</c:v>
                </c:pt>
              </c:strCache>
            </c:strRef>
          </c:cat>
          <c:val>
            <c:numRef>
              <c:f>Idősorok_ábrák_Új!$E$63:$I$63</c:f>
              <c:numCache>
                <c:formatCode>#,##0.00</c:formatCode>
                <c:ptCount val="5"/>
                <c:pt idx="0">
                  <c:v>62.784452500151701</c:v>
                </c:pt>
                <c:pt idx="1">
                  <c:v>25.39012045218</c:v>
                </c:pt>
                <c:pt idx="2">
                  <c:v>17.276783018</c:v>
                </c:pt>
                <c:pt idx="3">
                  <c:v>119.79233685106099</c:v>
                </c:pt>
                <c:pt idx="4">
                  <c:v>15.477247201999999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E174-4323-B792-A510C6E9C00A}"/>
            </c:ext>
          </c:extLst>
        </c:ser>
        <c:ser>
          <c:idx val="1"/>
          <c:order val="1"/>
          <c:tx>
            <c:strRef>
              <c:f>Idősorok_ábrák_Új!$D$64</c:f>
              <c:strCache>
                <c:ptCount val="1"/>
                <c:pt idx="0">
                  <c:v>2018</c:v>
                </c:pt>
              </c:strCache>
            </c:strRef>
          </c:tx>
          <c:spPr>
            <a:solidFill>
              <a:schemeClr val="accent3">
                <a:lumMod val="75000"/>
              </a:schemeClr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Idősorok_ábrák_Új!$E$62:$I$62</c:f>
              <c:strCache>
                <c:ptCount val="5"/>
                <c:pt idx="0">
                  <c:v>Beruházási hitelek</c:v>
                </c:pt>
                <c:pt idx="1">
                  <c:v>Hosszú lejáratú
forgóeszköz hitelek</c:v>
                </c:pt>
                <c:pt idx="2">
                  <c:v>Forint
folyószámla hitelek</c:v>
                </c:pt>
                <c:pt idx="3">
                  <c:v>Egyéb éven belüli hitelek</c:v>
                </c:pt>
                <c:pt idx="4">
                  <c:v>Egyéb hitelek</c:v>
                </c:pt>
              </c:strCache>
            </c:strRef>
          </c:cat>
          <c:val>
            <c:numRef>
              <c:f>Idősorok_ábrák_Új!$E$64:$I$64</c:f>
              <c:numCache>
                <c:formatCode>#,##0.00</c:formatCode>
                <c:ptCount val="5"/>
                <c:pt idx="0">
                  <c:v>109.16309200000001</c:v>
                </c:pt>
                <c:pt idx="1">
                  <c:v>47.504266999999999</c:v>
                </c:pt>
                <c:pt idx="2">
                  <c:v>26.581</c:v>
                </c:pt>
                <c:pt idx="3">
                  <c:v>111.13891</c:v>
                </c:pt>
                <c:pt idx="4">
                  <c:v>16.706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E174-4323-B792-A510C6E9C00A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572191648"/>
        <c:axId val="572186944"/>
      </c:barChart>
      <c:catAx>
        <c:axId val="572191648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572186944"/>
        <c:crosses val="autoZero"/>
        <c:auto val="1"/>
        <c:lblAlgn val="ctr"/>
        <c:lblOffset val="100"/>
        <c:noMultiLvlLbl val="0"/>
      </c:catAx>
      <c:valAx>
        <c:axId val="572186944"/>
        <c:scaling>
          <c:orientation val="minMax"/>
        </c:scaling>
        <c:delete val="0"/>
        <c:axPos val="l"/>
        <c:majorGridlines/>
        <c:numFmt formatCode="#,##0.00" sourceLinked="1"/>
        <c:majorTickMark val="out"/>
        <c:minorTickMark val="none"/>
        <c:tickLblPos val="nextTo"/>
        <c:crossAx val="572191648"/>
        <c:crosses val="autoZero"/>
        <c:crossBetween val="between"/>
      </c:valAx>
    </c:plotArea>
    <c:legend>
      <c:legendPos val="b"/>
      <c:overlay val="0"/>
    </c:legend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6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hu-H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Idősorok_ábrák_Új!$D$96</c:f>
              <c:strCache>
                <c:ptCount val="1"/>
                <c:pt idx="0">
                  <c:v>Mg. új beruházási hitelei (milliárd Ft)</c:v>
                </c:pt>
              </c:strCache>
            </c:strRef>
          </c:tx>
          <c:invertIfNegative val="0"/>
          <c:dLbls>
            <c:delete val="1"/>
          </c:dLbls>
          <c:trendline>
            <c:name>Trendvonal - beruházási hitelek</c:name>
            <c:spPr>
              <a:ln w="25400">
                <a:solidFill>
                  <a:schemeClr val="accent1"/>
                </a:solidFill>
              </a:ln>
            </c:spPr>
            <c:trendlineType val="linear"/>
            <c:dispRSqr val="0"/>
            <c:dispEq val="0"/>
          </c:trendline>
          <c:cat>
            <c:strRef>
              <c:f>Idősorok_ábrák_Új!$E$93:$Y$93</c:f>
              <c:strCache>
                <c:ptCount val="21"/>
                <c:pt idx="0">
                  <c:v>2016. I. </c:v>
                </c:pt>
                <c:pt idx="1">
                  <c:v>2016.II.</c:v>
                </c:pt>
                <c:pt idx="2">
                  <c:v>2016.III.</c:v>
                </c:pt>
                <c:pt idx="3">
                  <c:v>2016.IV.</c:v>
                </c:pt>
                <c:pt idx="4">
                  <c:v>2017.I.</c:v>
                </c:pt>
                <c:pt idx="5">
                  <c:v>2017.II.</c:v>
                </c:pt>
                <c:pt idx="6">
                  <c:v>2017.III.</c:v>
                </c:pt>
                <c:pt idx="7">
                  <c:v>2017.IV.</c:v>
                </c:pt>
                <c:pt idx="8">
                  <c:v>2018.I.R</c:v>
                </c:pt>
                <c:pt idx="9">
                  <c:v>2018.I.Ú</c:v>
                </c:pt>
                <c:pt idx="10">
                  <c:v>2018.II.</c:v>
                </c:pt>
                <c:pt idx="11">
                  <c:v>2018.III.</c:v>
                </c:pt>
                <c:pt idx="12">
                  <c:v>2018.IV.</c:v>
                </c:pt>
                <c:pt idx="13">
                  <c:v>2019.I.</c:v>
                </c:pt>
                <c:pt idx="14">
                  <c:v>2019.II.</c:v>
                </c:pt>
                <c:pt idx="15">
                  <c:v>2019.III.</c:v>
                </c:pt>
                <c:pt idx="16">
                  <c:v>2019.IV.</c:v>
                </c:pt>
                <c:pt idx="17">
                  <c:v>2020.I.</c:v>
                </c:pt>
                <c:pt idx="18">
                  <c:v>2020.II.</c:v>
                </c:pt>
                <c:pt idx="19">
                  <c:v>2020.III.</c:v>
                </c:pt>
                <c:pt idx="20">
                  <c:v>2020.IV.</c:v>
                </c:pt>
              </c:strCache>
            </c:strRef>
          </c:cat>
          <c:val>
            <c:numRef>
              <c:f>Idősorok_ábrák_Új!$E$96:$Y$96</c:f>
              <c:numCache>
                <c:formatCode>#\ ##0.0</c:formatCode>
                <c:ptCount val="21"/>
                <c:pt idx="0">
                  <c:v>5.2041870000000001</c:v>
                </c:pt>
                <c:pt idx="1">
                  <c:v>9.7153404689999991</c:v>
                </c:pt>
                <c:pt idx="2">
                  <c:v>41.039499669000001</c:v>
                </c:pt>
                <c:pt idx="3">
                  <c:v>91.730631406000001</c:v>
                </c:pt>
                <c:pt idx="4">
                  <c:v>40.306591185999999</c:v>
                </c:pt>
                <c:pt idx="5">
                  <c:v>25.707198417000001</c:v>
                </c:pt>
                <c:pt idx="6">
                  <c:v>9.8588594109999992</c:v>
                </c:pt>
                <c:pt idx="7">
                  <c:v>18.019777470000001</c:v>
                </c:pt>
                <c:pt idx="8">
                  <c:v>6.6680000000000001</c:v>
                </c:pt>
                <c:pt idx="9">
                  <c:v>9.1470000000000002</c:v>
                </c:pt>
                <c:pt idx="10">
                  <c:v>19.657</c:v>
                </c:pt>
                <c:pt idx="11">
                  <c:v>17.131</c:v>
                </c:pt>
                <c:pt idx="12">
                  <c:v>21.619</c:v>
                </c:pt>
                <c:pt idx="13">
                  <c:v>20.033999999999999</c:v>
                </c:pt>
                <c:pt idx="14">
                  <c:v>23.099</c:v>
                </c:pt>
                <c:pt idx="15">
                  <c:v>26.706</c:v>
                </c:pt>
                <c:pt idx="16">
                  <c:v>20.588999999999999</c:v>
                </c:pt>
                <c:pt idx="17">
                  <c:v>15.983000000000001</c:v>
                </c:pt>
                <c:pt idx="18">
                  <c:v>32.481000000000002</c:v>
                </c:pt>
                <c:pt idx="19">
                  <c:v>33.094000000000001</c:v>
                </c:pt>
                <c:pt idx="20">
                  <c:v>43.902000000000001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0BF5-4248-AC72-437B9E4CBA27}"/>
            </c:ext>
          </c:extLst>
        </c:ser>
        <c:ser>
          <c:idx val="1"/>
          <c:order val="1"/>
          <c:tx>
            <c:strRef>
              <c:f>Idősorok_ábrák_Új!$D$101</c:f>
              <c:strCache>
                <c:ptCount val="1"/>
                <c:pt idx="0">
                  <c:v>Mg. új hosszú lejáratú forgóeszköz hitelei (milliárd Ft)</c:v>
                </c:pt>
              </c:strCache>
            </c:strRef>
          </c:tx>
          <c:invertIfNegative val="0"/>
          <c:dLbls>
            <c:delete val="1"/>
          </c:dLbls>
          <c:trendline>
            <c:name>Trendvonal - hosszú lejáratú forgóeszköz hitelek</c:name>
            <c:spPr>
              <a:ln w="25400">
                <a:solidFill>
                  <a:schemeClr val="accent2"/>
                </a:solidFill>
              </a:ln>
            </c:spPr>
            <c:trendlineType val="linear"/>
            <c:dispRSqr val="0"/>
            <c:dispEq val="0"/>
          </c:trendline>
          <c:cat>
            <c:strRef>
              <c:f>Idősorok_ábrák_Új!$E$93:$Y$93</c:f>
              <c:strCache>
                <c:ptCount val="21"/>
                <c:pt idx="0">
                  <c:v>2016. I. </c:v>
                </c:pt>
                <c:pt idx="1">
                  <c:v>2016.II.</c:v>
                </c:pt>
                <c:pt idx="2">
                  <c:v>2016.III.</c:v>
                </c:pt>
                <c:pt idx="3">
                  <c:v>2016.IV.</c:v>
                </c:pt>
                <c:pt idx="4">
                  <c:v>2017.I.</c:v>
                </c:pt>
                <c:pt idx="5">
                  <c:v>2017.II.</c:v>
                </c:pt>
                <c:pt idx="6">
                  <c:v>2017.III.</c:v>
                </c:pt>
                <c:pt idx="7">
                  <c:v>2017.IV.</c:v>
                </c:pt>
                <c:pt idx="8">
                  <c:v>2018.I.R</c:v>
                </c:pt>
                <c:pt idx="9">
                  <c:v>2018.I.Ú</c:v>
                </c:pt>
                <c:pt idx="10">
                  <c:v>2018.II.</c:v>
                </c:pt>
                <c:pt idx="11">
                  <c:v>2018.III.</c:v>
                </c:pt>
                <c:pt idx="12">
                  <c:v>2018.IV.</c:v>
                </c:pt>
                <c:pt idx="13">
                  <c:v>2019.I.</c:v>
                </c:pt>
                <c:pt idx="14">
                  <c:v>2019.II.</c:v>
                </c:pt>
                <c:pt idx="15">
                  <c:v>2019.III.</c:v>
                </c:pt>
                <c:pt idx="16">
                  <c:v>2019.IV.</c:v>
                </c:pt>
                <c:pt idx="17">
                  <c:v>2020.I.</c:v>
                </c:pt>
                <c:pt idx="18">
                  <c:v>2020.II.</c:v>
                </c:pt>
                <c:pt idx="19">
                  <c:v>2020.III.</c:v>
                </c:pt>
                <c:pt idx="20">
                  <c:v>2020.IV.</c:v>
                </c:pt>
              </c:strCache>
            </c:strRef>
          </c:cat>
          <c:val>
            <c:numRef>
              <c:f>Idősorok_ábrák_Új!$E$101:$Y$101</c:f>
              <c:numCache>
                <c:formatCode>#\ ##0.0</c:formatCode>
                <c:ptCount val="21"/>
                <c:pt idx="0">
                  <c:v>5.8797166489999997</c:v>
                </c:pt>
                <c:pt idx="1">
                  <c:v>12.941326766500801</c:v>
                </c:pt>
                <c:pt idx="2">
                  <c:v>16.2922810165295</c:v>
                </c:pt>
                <c:pt idx="3">
                  <c:v>12.522638815720001</c:v>
                </c:pt>
                <c:pt idx="4">
                  <c:v>52.758633538227997</c:v>
                </c:pt>
                <c:pt idx="5">
                  <c:v>13.071369409447</c:v>
                </c:pt>
                <c:pt idx="6">
                  <c:v>10.3355328958851</c:v>
                </c:pt>
                <c:pt idx="7">
                  <c:v>11.1071813507484</c:v>
                </c:pt>
                <c:pt idx="8">
                  <c:v>5.7760189999999998</c:v>
                </c:pt>
                <c:pt idx="9">
                  <c:v>10.179</c:v>
                </c:pt>
                <c:pt idx="10">
                  <c:v>8.2170000000000005</c:v>
                </c:pt>
                <c:pt idx="11">
                  <c:v>13.797000000000001</c:v>
                </c:pt>
                <c:pt idx="12">
                  <c:v>15.343</c:v>
                </c:pt>
                <c:pt idx="13">
                  <c:v>10.179</c:v>
                </c:pt>
                <c:pt idx="14">
                  <c:v>15.827999999999999</c:v>
                </c:pt>
                <c:pt idx="15">
                  <c:v>10.215999999999999</c:v>
                </c:pt>
                <c:pt idx="16">
                  <c:v>9.1379999999999999</c:v>
                </c:pt>
                <c:pt idx="17">
                  <c:v>5.0819999999999999</c:v>
                </c:pt>
                <c:pt idx="18">
                  <c:v>13.131</c:v>
                </c:pt>
                <c:pt idx="19">
                  <c:v>29.402999999999999</c:v>
                </c:pt>
                <c:pt idx="20">
                  <c:v>25.774000000000001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0BF5-4248-AC72-437B9E4CBA27}"/>
            </c:ext>
          </c:extLst>
        </c:ser>
        <c:ser>
          <c:idx val="2"/>
          <c:order val="2"/>
          <c:tx>
            <c:strRef>
              <c:f>Idősorok_ábrák_Új!$D$106</c:f>
              <c:strCache>
                <c:ptCount val="1"/>
                <c:pt idx="0">
                  <c:v>Mg. új forint folyószámla-, és egyéb éven belüli hitelei (milliárd Ft)</c:v>
                </c:pt>
              </c:strCache>
            </c:strRef>
          </c:tx>
          <c:invertIfNegative val="0"/>
          <c:dLbls>
            <c:delete val="1"/>
          </c:dLbls>
          <c:trendline>
            <c:name>Trendvonal - forint folyószámla-, és egyéb éven belüli hitelek</c:name>
            <c:spPr>
              <a:ln w="25400">
                <a:solidFill>
                  <a:schemeClr val="accent3"/>
                </a:solidFill>
              </a:ln>
            </c:spPr>
            <c:trendlineType val="linear"/>
            <c:dispRSqr val="0"/>
            <c:dispEq val="0"/>
          </c:trendline>
          <c:cat>
            <c:strRef>
              <c:f>Idősorok_ábrák_Új!$E$93:$Y$93</c:f>
              <c:strCache>
                <c:ptCount val="21"/>
                <c:pt idx="0">
                  <c:v>2016. I. </c:v>
                </c:pt>
                <c:pt idx="1">
                  <c:v>2016.II.</c:v>
                </c:pt>
                <c:pt idx="2">
                  <c:v>2016.III.</c:v>
                </c:pt>
                <c:pt idx="3">
                  <c:v>2016.IV.</c:v>
                </c:pt>
                <c:pt idx="4">
                  <c:v>2017.I.</c:v>
                </c:pt>
                <c:pt idx="5">
                  <c:v>2017.II.</c:v>
                </c:pt>
                <c:pt idx="6">
                  <c:v>2017.III.</c:v>
                </c:pt>
                <c:pt idx="7">
                  <c:v>2017.IV.</c:v>
                </c:pt>
                <c:pt idx="8">
                  <c:v>2018.I.R</c:v>
                </c:pt>
                <c:pt idx="9">
                  <c:v>2018.I.Ú</c:v>
                </c:pt>
                <c:pt idx="10">
                  <c:v>2018.II.</c:v>
                </c:pt>
                <c:pt idx="11">
                  <c:v>2018.III.</c:v>
                </c:pt>
                <c:pt idx="12">
                  <c:v>2018.IV.</c:v>
                </c:pt>
                <c:pt idx="13">
                  <c:v>2019.I.</c:v>
                </c:pt>
                <c:pt idx="14">
                  <c:v>2019.II.</c:v>
                </c:pt>
                <c:pt idx="15">
                  <c:v>2019.III.</c:v>
                </c:pt>
                <c:pt idx="16">
                  <c:v>2019.IV.</c:v>
                </c:pt>
                <c:pt idx="17">
                  <c:v>2020.I.</c:v>
                </c:pt>
                <c:pt idx="18">
                  <c:v>2020.II.</c:v>
                </c:pt>
                <c:pt idx="19">
                  <c:v>2020.III.</c:v>
                </c:pt>
                <c:pt idx="20">
                  <c:v>2020.IV.</c:v>
                </c:pt>
              </c:strCache>
            </c:strRef>
          </c:cat>
          <c:val>
            <c:numRef>
              <c:f>Idősorok_ábrák_Új!$E$106:$Y$106</c:f>
              <c:numCache>
                <c:formatCode>#\ ##0.0</c:formatCode>
                <c:ptCount val="21"/>
                <c:pt idx="0">
                  <c:v>12.900368167</c:v>
                </c:pt>
                <c:pt idx="1">
                  <c:v>18.899604785000001</c:v>
                </c:pt>
                <c:pt idx="2">
                  <c:v>27.4482461118</c:v>
                </c:pt>
                <c:pt idx="3">
                  <c:v>22.007852494000002</c:v>
                </c:pt>
                <c:pt idx="4">
                  <c:v>12.548226572000001</c:v>
                </c:pt>
                <c:pt idx="5">
                  <c:v>23.168295695000001</c:v>
                </c:pt>
                <c:pt idx="6">
                  <c:v>29.032859683000002</c:v>
                </c:pt>
                <c:pt idx="7">
                  <c:v>32.418561210999997</c:v>
                </c:pt>
                <c:pt idx="8">
                  <c:v>14.239000000000001</c:v>
                </c:pt>
                <c:pt idx="9">
                  <c:v>14.239000000000001</c:v>
                </c:pt>
                <c:pt idx="10">
                  <c:v>22.763000000000002</c:v>
                </c:pt>
                <c:pt idx="11">
                  <c:v>28.983000000000001</c:v>
                </c:pt>
                <c:pt idx="12">
                  <c:v>34.067999999999998</c:v>
                </c:pt>
                <c:pt idx="13">
                  <c:v>23.960999999999999</c:v>
                </c:pt>
                <c:pt idx="14">
                  <c:v>27.652000000000001</c:v>
                </c:pt>
                <c:pt idx="15">
                  <c:v>37.005000000000003</c:v>
                </c:pt>
                <c:pt idx="16">
                  <c:v>45.027000000000001</c:v>
                </c:pt>
                <c:pt idx="17">
                  <c:v>29.844999999999999</c:v>
                </c:pt>
                <c:pt idx="18">
                  <c:v>30.236999999999998</c:v>
                </c:pt>
                <c:pt idx="19">
                  <c:v>42.127000000000002</c:v>
                </c:pt>
                <c:pt idx="20">
                  <c:v>35.963999999999999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0BF5-4248-AC72-437B9E4CBA27}"/>
            </c:ext>
          </c:extLst>
        </c:ser>
        <c:ser>
          <c:idx val="3"/>
          <c:order val="3"/>
          <c:tx>
            <c:strRef>
              <c:f>Idősorok_ábrák_Új!$D$111</c:f>
              <c:strCache>
                <c:ptCount val="1"/>
                <c:pt idx="0">
                  <c:v>Mg. új egyéb hitelei (milliárd Ft)</c:v>
                </c:pt>
              </c:strCache>
            </c:strRef>
          </c:tx>
          <c:invertIfNegative val="0"/>
          <c:dLbls>
            <c:delete val="1"/>
          </c:dLbls>
          <c:trendline>
            <c:name>Trendvonal - egyéb hitelek</c:name>
            <c:spPr>
              <a:ln w="25400">
                <a:solidFill>
                  <a:schemeClr val="accent4"/>
                </a:solidFill>
              </a:ln>
            </c:spPr>
            <c:trendlineType val="linear"/>
            <c:dispRSqr val="0"/>
            <c:dispEq val="0"/>
          </c:trendline>
          <c:cat>
            <c:strRef>
              <c:f>Idősorok_ábrák_Új!$E$93:$Y$93</c:f>
              <c:strCache>
                <c:ptCount val="21"/>
                <c:pt idx="0">
                  <c:v>2016. I. </c:v>
                </c:pt>
                <c:pt idx="1">
                  <c:v>2016.II.</c:v>
                </c:pt>
                <c:pt idx="2">
                  <c:v>2016.III.</c:v>
                </c:pt>
                <c:pt idx="3">
                  <c:v>2016.IV.</c:v>
                </c:pt>
                <c:pt idx="4">
                  <c:v>2017.I.</c:v>
                </c:pt>
                <c:pt idx="5">
                  <c:v>2017.II.</c:v>
                </c:pt>
                <c:pt idx="6">
                  <c:v>2017.III.</c:v>
                </c:pt>
                <c:pt idx="7">
                  <c:v>2017.IV.</c:v>
                </c:pt>
                <c:pt idx="8">
                  <c:v>2018.I.R</c:v>
                </c:pt>
                <c:pt idx="9">
                  <c:v>2018.I.Ú</c:v>
                </c:pt>
                <c:pt idx="10">
                  <c:v>2018.II.</c:v>
                </c:pt>
                <c:pt idx="11">
                  <c:v>2018.III.</c:v>
                </c:pt>
                <c:pt idx="12">
                  <c:v>2018.IV.</c:v>
                </c:pt>
                <c:pt idx="13">
                  <c:v>2019.I.</c:v>
                </c:pt>
                <c:pt idx="14">
                  <c:v>2019.II.</c:v>
                </c:pt>
                <c:pt idx="15">
                  <c:v>2019.III.</c:v>
                </c:pt>
                <c:pt idx="16">
                  <c:v>2019.IV.</c:v>
                </c:pt>
                <c:pt idx="17">
                  <c:v>2020.I.</c:v>
                </c:pt>
                <c:pt idx="18">
                  <c:v>2020.II.</c:v>
                </c:pt>
                <c:pt idx="19">
                  <c:v>2020.III.</c:v>
                </c:pt>
                <c:pt idx="20">
                  <c:v>2020.IV.</c:v>
                </c:pt>
              </c:strCache>
            </c:strRef>
          </c:cat>
          <c:val>
            <c:numRef>
              <c:f>Idősorok_ábrák_Új!$E$111:$Y$111</c:f>
              <c:numCache>
                <c:formatCode>#\ ##0.0</c:formatCode>
                <c:ptCount val="21"/>
                <c:pt idx="0">
                  <c:v>3.8573276719999998</c:v>
                </c:pt>
                <c:pt idx="1">
                  <c:v>8.8583674089999995</c:v>
                </c:pt>
                <c:pt idx="2">
                  <c:v>10.005877524000001</c:v>
                </c:pt>
                <c:pt idx="3">
                  <c:v>13.651054556</c:v>
                </c:pt>
                <c:pt idx="4">
                  <c:v>5.4705209999999997</c:v>
                </c:pt>
                <c:pt idx="5">
                  <c:v>9.0768123379999999</c:v>
                </c:pt>
                <c:pt idx="6">
                  <c:v>4.8306950000000004</c:v>
                </c:pt>
                <c:pt idx="7">
                  <c:v>4.4888703100000003</c:v>
                </c:pt>
                <c:pt idx="8">
                  <c:v>8.2880000000000003</c:v>
                </c:pt>
                <c:pt idx="9">
                  <c:v>8.298</c:v>
                </c:pt>
                <c:pt idx="10">
                  <c:v>13.497</c:v>
                </c:pt>
                <c:pt idx="11">
                  <c:v>9.5579999999999998</c:v>
                </c:pt>
                <c:pt idx="12">
                  <c:v>9.4049999999999994</c:v>
                </c:pt>
                <c:pt idx="13">
                  <c:v>10.571999999999999</c:v>
                </c:pt>
                <c:pt idx="14">
                  <c:v>8.6950000000000003</c:v>
                </c:pt>
                <c:pt idx="15">
                  <c:v>5.1020000000000003</c:v>
                </c:pt>
                <c:pt idx="16">
                  <c:v>2.1549999999999998</c:v>
                </c:pt>
                <c:pt idx="17">
                  <c:v>2.8759999999999999</c:v>
                </c:pt>
                <c:pt idx="18">
                  <c:v>3.0760000000000001</c:v>
                </c:pt>
                <c:pt idx="19">
                  <c:v>2.4390000000000001</c:v>
                </c:pt>
                <c:pt idx="20">
                  <c:v>5.4189999999999996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0BF5-4248-AC72-437B9E4CBA27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572192432"/>
        <c:axId val="572189296"/>
      </c:barChart>
      <c:catAx>
        <c:axId val="57219243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572189296"/>
        <c:crosses val="autoZero"/>
        <c:auto val="1"/>
        <c:lblAlgn val="ctr"/>
        <c:lblOffset val="100"/>
        <c:noMultiLvlLbl val="0"/>
      </c:catAx>
      <c:valAx>
        <c:axId val="572189296"/>
        <c:scaling>
          <c:orientation val="minMax"/>
        </c:scaling>
        <c:delete val="0"/>
        <c:axPos val="l"/>
        <c:majorGridlines/>
        <c:numFmt formatCode="#\ ##0.0" sourceLinked="1"/>
        <c:majorTickMark val="out"/>
        <c:minorTickMark val="none"/>
        <c:tickLblPos val="nextTo"/>
        <c:crossAx val="572192432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6.242970299729372E-3"/>
          <c:y val="0.89781373337671477"/>
          <c:w val="0.99184265059748189"/>
          <c:h val="8.5502222568650907E-2"/>
        </c:manualLayout>
      </c:layout>
      <c:overlay val="0"/>
    </c:legend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6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hu-H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Idősorok_ábrák_Új!$D$153</c:f>
              <c:strCache>
                <c:ptCount val="1"/>
                <c:pt idx="0">
                  <c:v>Élip új beruházási hitelei (milliárd Ft)</c:v>
                </c:pt>
              </c:strCache>
            </c:strRef>
          </c:tx>
          <c:invertIfNegative val="0"/>
          <c:trendline>
            <c:name>Trendvonal - beruházási hitelek</c:name>
            <c:spPr>
              <a:ln w="25400">
                <a:solidFill>
                  <a:schemeClr val="accent1"/>
                </a:solidFill>
              </a:ln>
            </c:spPr>
            <c:trendlineType val="linear"/>
            <c:dispRSqr val="0"/>
            <c:dispEq val="0"/>
          </c:trendline>
          <c:cat>
            <c:strRef>
              <c:f>Idősorok_ábrák_Új!$E$150:$Y$150</c:f>
              <c:strCache>
                <c:ptCount val="21"/>
                <c:pt idx="0">
                  <c:v>2016. I. </c:v>
                </c:pt>
                <c:pt idx="1">
                  <c:v>2016.II.</c:v>
                </c:pt>
                <c:pt idx="2">
                  <c:v>2016.III.</c:v>
                </c:pt>
                <c:pt idx="3">
                  <c:v>2016.IV.</c:v>
                </c:pt>
                <c:pt idx="4">
                  <c:v>2017.I.</c:v>
                </c:pt>
                <c:pt idx="5">
                  <c:v>2017.II.</c:v>
                </c:pt>
                <c:pt idx="6">
                  <c:v>2017.III.</c:v>
                </c:pt>
                <c:pt idx="7">
                  <c:v>2017.IV.</c:v>
                </c:pt>
                <c:pt idx="8">
                  <c:v>2018.I.R</c:v>
                </c:pt>
                <c:pt idx="9">
                  <c:v>2018.I.Ú</c:v>
                </c:pt>
                <c:pt idx="10">
                  <c:v>2018.II.</c:v>
                </c:pt>
                <c:pt idx="11">
                  <c:v>2018.III.</c:v>
                </c:pt>
                <c:pt idx="12">
                  <c:v>2018.IV.</c:v>
                </c:pt>
                <c:pt idx="13">
                  <c:v>2019.I.</c:v>
                </c:pt>
                <c:pt idx="14">
                  <c:v>2019.II.</c:v>
                </c:pt>
                <c:pt idx="15">
                  <c:v>2019.III.</c:v>
                </c:pt>
                <c:pt idx="16">
                  <c:v>2019.IV.</c:v>
                </c:pt>
                <c:pt idx="17">
                  <c:v>2020.I.</c:v>
                </c:pt>
                <c:pt idx="18">
                  <c:v>2020.II.</c:v>
                </c:pt>
                <c:pt idx="19">
                  <c:v>2020.III.</c:v>
                </c:pt>
                <c:pt idx="20">
                  <c:v>2020.IV.</c:v>
                </c:pt>
              </c:strCache>
            </c:strRef>
          </c:cat>
          <c:val>
            <c:numRef>
              <c:f>Idősorok_ábrák_Új!$E$153:$Y$153</c:f>
              <c:numCache>
                <c:formatCode>#\ ##0.0</c:formatCode>
                <c:ptCount val="21"/>
                <c:pt idx="0">
                  <c:v>4.4228846404200004</c:v>
                </c:pt>
                <c:pt idx="1">
                  <c:v>14.358268027147201</c:v>
                </c:pt>
                <c:pt idx="2">
                  <c:v>11.3599812459685</c:v>
                </c:pt>
                <c:pt idx="3">
                  <c:v>18.653927037397199</c:v>
                </c:pt>
                <c:pt idx="4">
                  <c:v>8.8101498499749997</c:v>
                </c:pt>
                <c:pt idx="5">
                  <c:v>25.813940797323799</c:v>
                </c:pt>
                <c:pt idx="6">
                  <c:v>11.5007445283479</c:v>
                </c:pt>
                <c:pt idx="7">
                  <c:v>16.659617324505</c:v>
                </c:pt>
                <c:pt idx="8">
                  <c:v>10.75601</c:v>
                </c:pt>
                <c:pt idx="9">
                  <c:v>10.901999999999999</c:v>
                </c:pt>
                <c:pt idx="10">
                  <c:v>19.957000000000001</c:v>
                </c:pt>
                <c:pt idx="11">
                  <c:v>12.321</c:v>
                </c:pt>
                <c:pt idx="12">
                  <c:v>67.599999999999994</c:v>
                </c:pt>
                <c:pt idx="13">
                  <c:v>15.933</c:v>
                </c:pt>
                <c:pt idx="14">
                  <c:v>15.933</c:v>
                </c:pt>
                <c:pt idx="15">
                  <c:v>11.451000000000001</c:v>
                </c:pt>
                <c:pt idx="16">
                  <c:v>28.981999999999999</c:v>
                </c:pt>
                <c:pt idx="17">
                  <c:v>9.1280000000000001</c:v>
                </c:pt>
                <c:pt idx="18">
                  <c:v>8.1720000000000006</c:v>
                </c:pt>
                <c:pt idx="19">
                  <c:v>8.1669999999999998</c:v>
                </c:pt>
                <c:pt idx="20">
                  <c:v>9.343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0278-43B3-9D57-395AEF506979}"/>
            </c:ext>
          </c:extLst>
        </c:ser>
        <c:ser>
          <c:idx val="1"/>
          <c:order val="1"/>
          <c:tx>
            <c:strRef>
              <c:f>Idősorok_ábrák_Új!$D$158</c:f>
              <c:strCache>
                <c:ptCount val="1"/>
                <c:pt idx="0">
                  <c:v>Élip új hosszú lejáratú forgóeszköz hitelei (milliárd Ft)</c:v>
                </c:pt>
              </c:strCache>
            </c:strRef>
          </c:tx>
          <c:invertIfNegative val="0"/>
          <c:trendline>
            <c:name>Trendvonal - hosszú lejáratú forgóeszköz hitelek</c:name>
            <c:spPr>
              <a:ln w="25400">
                <a:solidFill>
                  <a:schemeClr val="accent2"/>
                </a:solidFill>
              </a:ln>
            </c:spPr>
            <c:trendlineType val="linear"/>
            <c:dispRSqr val="0"/>
            <c:dispEq val="0"/>
          </c:trendline>
          <c:cat>
            <c:strRef>
              <c:f>Idősorok_ábrák_Új!$E$150:$Y$150</c:f>
              <c:strCache>
                <c:ptCount val="21"/>
                <c:pt idx="0">
                  <c:v>2016. I. </c:v>
                </c:pt>
                <c:pt idx="1">
                  <c:v>2016.II.</c:v>
                </c:pt>
                <c:pt idx="2">
                  <c:v>2016.III.</c:v>
                </c:pt>
                <c:pt idx="3">
                  <c:v>2016.IV.</c:v>
                </c:pt>
                <c:pt idx="4">
                  <c:v>2017.I.</c:v>
                </c:pt>
                <c:pt idx="5">
                  <c:v>2017.II.</c:v>
                </c:pt>
                <c:pt idx="6">
                  <c:v>2017.III.</c:v>
                </c:pt>
                <c:pt idx="7">
                  <c:v>2017.IV.</c:v>
                </c:pt>
                <c:pt idx="8">
                  <c:v>2018.I.R</c:v>
                </c:pt>
                <c:pt idx="9">
                  <c:v>2018.I.Ú</c:v>
                </c:pt>
                <c:pt idx="10">
                  <c:v>2018.II.</c:v>
                </c:pt>
                <c:pt idx="11">
                  <c:v>2018.III.</c:v>
                </c:pt>
                <c:pt idx="12">
                  <c:v>2018.IV.</c:v>
                </c:pt>
                <c:pt idx="13">
                  <c:v>2019.I.</c:v>
                </c:pt>
                <c:pt idx="14">
                  <c:v>2019.II.</c:v>
                </c:pt>
                <c:pt idx="15">
                  <c:v>2019.III.</c:v>
                </c:pt>
                <c:pt idx="16">
                  <c:v>2019.IV.</c:v>
                </c:pt>
                <c:pt idx="17">
                  <c:v>2020.I.</c:v>
                </c:pt>
                <c:pt idx="18">
                  <c:v>2020.II.</c:v>
                </c:pt>
                <c:pt idx="19">
                  <c:v>2020.III.</c:v>
                </c:pt>
                <c:pt idx="20">
                  <c:v>2020.IV.</c:v>
                </c:pt>
              </c:strCache>
            </c:strRef>
          </c:cat>
          <c:val>
            <c:numRef>
              <c:f>Idősorok_ábrák_Új!$E$158:$Y$158</c:f>
              <c:numCache>
                <c:formatCode>#\ ##0.0</c:formatCode>
                <c:ptCount val="21"/>
                <c:pt idx="0">
                  <c:v>0.88456384499999996</c:v>
                </c:pt>
                <c:pt idx="1">
                  <c:v>5.6493989119999997</c:v>
                </c:pt>
                <c:pt idx="2">
                  <c:v>4.5181132938105</c:v>
                </c:pt>
                <c:pt idx="3">
                  <c:v>10.1947512050542</c:v>
                </c:pt>
                <c:pt idx="4">
                  <c:v>5.0739796272</c:v>
                </c:pt>
                <c:pt idx="5">
                  <c:v>7.0111261239799996</c:v>
                </c:pt>
                <c:pt idx="6">
                  <c:v>4.9681870129999997</c:v>
                </c:pt>
                <c:pt idx="7">
                  <c:v>8.3368276879999996</c:v>
                </c:pt>
                <c:pt idx="8">
                  <c:v>4.7396440000000002</c:v>
                </c:pt>
                <c:pt idx="9">
                  <c:v>4.74</c:v>
                </c:pt>
                <c:pt idx="10">
                  <c:v>14.839</c:v>
                </c:pt>
                <c:pt idx="11">
                  <c:v>15.635</c:v>
                </c:pt>
                <c:pt idx="12">
                  <c:v>12.462</c:v>
                </c:pt>
                <c:pt idx="13">
                  <c:v>4.5179999999999998</c:v>
                </c:pt>
                <c:pt idx="14">
                  <c:v>2.8679999999999999</c:v>
                </c:pt>
                <c:pt idx="15">
                  <c:v>12.544</c:v>
                </c:pt>
                <c:pt idx="16">
                  <c:v>14.961</c:v>
                </c:pt>
                <c:pt idx="17">
                  <c:v>6.6989999999999998</c:v>
                </c:pt>
                <c:pt idx="18">
                  <c:v>11.496</c:v>
                </c:pt>
                <c:pt idx="19">
                  <c:v>52.755000000000003</c:v>
                </c:pt>
                <c:pt idx="20">
                  <c:v>27.981000000000002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0278-43B3-9D57-395AEF506979}"/>
            </c:ext>
          </c:extLst>
        </c:ser>
        <c:ser>
          <c:idx val="2"/>
          <c:order val="2"/>
          <c:tx>
            <c:strRef>
              <c:f>Idősorok_ábrák_Új!$D$163</c:f>
              <c:strCache>
                <c:ptCount val="1"/>
                <c:pt idx="0">
                  <c:v>Élip új forint folyószámla-, és egyéb éven belüli hitelei (milliárd Ft)</c:v>
                </c:pt>
              </c:strCache>
            </c:strRef>
          </c:tx>
          <c:invertIfNegative val="0"/>
          <c:trendline>
            <c:name>Trendvonal - foritn folyószámla-, és egyéb éven belüli hitelek</c:name>
            <c:spPr>
              <a:ln w="25400">
                <a:solidFill>
                  <a:schemeClr val="accent3"/>
                </a:solidFill>
              </a:ln>
            </c:spPr>
            <c:trendlineType val="linear"/>
            <c:dispRSqr val="0"/>
            <c:dispEq val="0"/>
          </c:trendline>
          <c:cat>
            <c:strRef>
              <c:f>Idősorok_ábrák_Új!$E$150:$Y$150</c:f>
              <c:strCache>
                <c:ptCount val="21"/>
                <c:pt idx="0">
                  <c:v>2016. I. </c:v>
                </c:pt>
                <c:pt idx="1">
                  <c:v>2016.II.</c:v>
                </c:pt>
                <c:pt idx="2">
                  <c:v>2016.III.</c:v>
                </c:pt>
                <c:pt idx="3">
                  <c:v>2016.IV.</c:v>
                </c:pt>
                <c:pt idx="4">
                  <c:v>2017.I.</c:v>
                </c:pt>
                <c:pt idx="5">
                  <c:v>2017.II.</c:v>
                </c:pt>
                <c:pt idx="6">
                  <c:v>2017.III.</c:v>
                </c:pt>
                <c:pt idx="7">
                  <c:v>2017.IV.</c:v>
                </c:pt>
                <c:pt idx="8">
                  <c:v>2018.I.R</c:v>
                </c:pt>
                <c:pt idx="9">
                  <c:v>2018.I.Ú</c:v>
                </c:pt>
                <c:pt idx="10">
                  <c:v>2018.II.</c:v>
                </c:pt>
                <c:pt idx="11">
                  <c:v>2018.III.</c:v>
                </c:pt>
                <c:pt idx="12">
                  <c:v>2018.IV.</c:v>
                </c:pt>
                <c:pt idx="13">
                  <c:v>2019.I.</c:v>
                </c:pt>
                <c:pt idx="14">
                  <c:v>2019.II.</c:v>
                </c:pt>
                <c:pt idx="15">
                  <c:v>2019.III.</c:v>
                </c:pt>
                <c:pt idx="16">
                  <c:v>2019.IV.</c:v>
                </c:pt>
                <c:pt idx="17">
                  <c:v>2020.I.</c:v>
                </c:pt>
                <c:pt idx="18">
                  <c:v>2020.II.</c:v>
                </c:pt>
                <c:pt idx="19">
                  <c:v>2020.III.</c:v>
                </c:pt>
                <c:pt idx="20">
                  <c:v>2020.IV.</c:v>
                </c:pt>
              </c:strCache>
            </c:strRef>
          </c:cat>
          <c:val>
            <c:numRef>
              <c:f>Idősorok_ábrák_Új!$E$163:$Y$163</c:f>
              <c:numCache>
                <c:formatCode>#\ ##0.0</c:formatCode>
                <c:ptCount val="21"/>
                <c:pt idx="0">
                  <c:v>26.372445337999999</c:v>
                </c:pt>
                <c:pt idx="1">
                  <c:v>36.404818003999999</c:v>
                </c:pt>
                <c:pt idx="2">
                  <c:v>51.337082723000002</c:v>
                </c:pt>
                <c:pt idx="3">
                  <c:v>35.476439717142</c:v>
                </c:pt>
                <c:pt idx="4">
                  <c:v>23.52133305988</c:v>
                </c:pt>
                <c:pt idx="5">
                  <c:v>25.0517032701812</c:v>
                </c:pt>
                <c:pt idx="6">
                  <c:v>48.075726232999997</c:v>
                </c:pt>
                <c:pt idx="7">
                  <c:v>40.420357306</c:v>
                </c:pt>
                <c:pt idx="8">
                  <c:v>23.696000000000002</c:v>
                </c:pt>
                <c:pt idx="9">
                  <c:v>23.696000000000002</c:v>
                </c:pt>
                <c:pt idx="10">
                  <c:v>21.035</c:v>
                </c:pt>
                <c:pt idx="11">
                  <c:v>46.244999999999997</c:v>
                </c:pt>
                <c:pt idx="12">
                  <c:v>46.713999999999999</c:v>
                </c:pt>
                <c:pt idx="13">
                  <c:v>24.312000000000001</c:v>
                </c:pt>
                <c:pt idx="14">
                  <c:v>28.942</c:v>
                </c:pt>
                <c:pt idx="15">
                  <c:v>45.686999999999998</c:v>
                </c:pt>
                <c:pt idx="16">
                  <c:v>45.689</c:v>
                </c:pt>
                <c:pt idx="17">
                  <c:v>33.497</c:v>
                </c:pt>
                <c:pt idx="18">
                  <c:v>27.513000000000002</c:v>
                </c:pt>
                <c:pt idx="19">
                  <c:v>52.779000000000003</c:v>
                </c:pt>
                <c:pt idx="20">
                  <c:v>42.273000000000003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0278-43B3-9D57-395AEF506979}"/>
            </c:ext>
          </c:extLst>
        </c:ser>
        <c:ser>
          <c:idx val="3"/>
          <c:order val="3"/>
          <c:tx>
            <c:strRef>
              <c:f>Idősorok_ábrák_Új!$D$168</c:f>
              <c:strCache>
                <c:ptCount val="1"/>
                <c:pt idx="0">
                  <c:v>Élip új egyéb hitelei (milliárd Ft)</c:v>
                </c:pt>
              </c:strCache>
            </c:strRef>
          </c:tx>
          <c:invertIfNegative val="0"/>
          <c:trendline>
            <c:name>Trendvonal - egyéb hitelek</c:name>
            <c:spPr>
              <a:ln w="25400">
                <a:solidFill>
                  <a:schemeClr val="accent4"/>
                </a:solidFill>
              </a:ln>
            </c:spPr>
            <c:trendlineType val="linear"/>
            <c:dispRSqr val="0"/>
            <c:dispEq val="0"/>
          </c:trendline>
          <c:cat>
            <c:strRef>
              <c:f>Idősorok_ábrák_Új!$E$150:$Y$150</c:f>
              <c:strCache>
                <c:ptCount val="21"/>
                <c:pt idx="0">
                  <c:v>2016. I. </c:v>
                </c:pt>
                <c:pt idx="1">
                  <c:v>2016.II.</c:v>
                </c:pt>
                <c:pt idx="2">
                  <c:v>2016.III.</c:v>
                </c:pt>
                <c:pt idx="3">
                  <c:v>2016.IV.</c:v>
                </c:pt>
                <c:pt idx="4">
                  <c:v>2017.I.</c:v>
                </c:pt>
                <c:pt idx="5">
                  <c:v>2017.II.</c:v>
                </c:pt>
                <c:pt idx="6">
                  <c:v>2017.III.</c:v>
                </c:pt>
                <c:pt idx="7">
                  <c:v>2017.IV.</c:v>
                </c:pt>
                <c:pt idx="8">
                  <c:v>2018.I.R</c:v>
                </c:pt>
                <c:pt idx="9">
                  <c:v>2018.I.Ú</c:v>
                </c:pt>
                <c:pt idx="10">
                  <c:v>2018.II.</c:v>
                </c:pt>
                <c:pt idx="11">
                  <c:v>2018.III.</c:v>
                </c:pt>
                <c:pt idx="12">
                  <c:v>2018.IV.</c:v>
                </c:pt>
                <c:pt idx="13">
                  <c:v>2019.I.</c:v>
                </c:pt>
                <c:pt idx="14">
                  <c:v>2019.II.</c:v>
                </c:pt>
                <c:pt idx="15">
                  <c:v>2019.III.</c:v>
                </c:pt>
                <c:pt idx="16">
                  <c:v>2019.IV.</c:v>
                </c:pt>
                <c:pt idx="17">
                  <c:v>2020.I.</c:v>
                </c:pt>
                <c:pt idx="18">
                  <c:v>2020.II.</c:v>
                </c:pt>
                <c:pt idx="19">
                  <c:v>2020.III.</c:v>
                </c:pt>
                <c:pt idx="20">
                  <c:v>2020.IV.</c:v>
                </c:pt>
              </c:strCache>
            </c:strRef>
          </c:cat>
          <c:val>
            <c:numRef>
              <c:f>Idősorok_ábrák_Új!$E$168:$Y$168</c:f>
              <c:numCache>
                <c:formatCode>#\ ##0.0</c:formatCode>
                <c:ptCount val="21"/>
                <c:pt idx="0">
                  <c:v>2.6724320000000001</c:v>
                </c:pt>
                <c:pt idx="1">
                  <c:v>1.741752</c:v>
                </c:pt>
                <c:pt idx="2">
                  <c:v>4.2529169290000004</c:v>
                </c:pt>
                <c:pt idx="3">
                  <c:v>4.9242215040000001</c:v>
                </c:pt>
                <c:pt idx="4">
                  <c:v>1.3843510000000001</c:v>
                </c:pt>
                <c:pt idx="5">
                  <c:v>1.779304</c:v>
                </c:pt>
                <c:pt idx="6">
                  <c:v>6.3928450000000003</c:v>
                </c:pt>
                <c:pt idx="7">
                  <c:v>5.9207472020000003</c:v>
                </c:pt>
                <c:pt idx="8">
                  <c:v>1.3879999999999999</c:v>
                </c:pt>
                <c:pt idx="9">
                  <c:v>1.3879999999999999</c:v>
                </c:pt>
                <c:pt idx="10">
                  <c:v>8.9570000000000007</c:v>
                </c:pt>
                <c:pt idx="11">
                  <c:v>2.0059999999999998</c:v>
                </c:pt>
                <c:pt idx="12">
                  <c:v>4.3550000000000004</c:v>
                </c:pt>
                <c:pt idx="13">
                  <c:v>4.3209999999999997</c:v>
                </c:pt>
                <c:pt idx="14">
                  <c:v>1.9510000000000001</c:v>
                </c:pt>
                <c:pt idx="15">
                  <c:v>2.754</c:v>
                </c:pt>
                <c:pt idx="16">
                  <c:v>2.734</c:v>
                </c:pt>
                <c:pt idx="17">
                  <c:v>8.9320000000000004</c:v>
                </c:pt>
                <c:pt idx="18">
                  <c:v>1.9630000000000001</c:v>
                </c:pt>
                <c:pt idx="19">
                  <c:v>4.1840000000000002</c:v>
                </c:pt>
                <c:pt idx="20">
                  <c:v>13.907999999999999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0278-43B3-9D57-395AEF50697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72194784"/>
        <c:axId val="572188512"/>
      </c:barChart>
      <c:catAx>
        <c:axId val="572194784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572188512"/>
        <c:crosses val="autoZero"/>
        <c:auto val="1"/>
        <c:lblAlgn val="ctr"/>
        <c:lblOffset val="100"/>
        <c:noMultiLvlLbl val="0"/>
      </c:catAx>
      <c:valAx>
        <c:axId val="572188512"/>
        <c:scaling>
          <c:orientation val="minMax"/>
        </c:scaling>
        <c:delete val="0"/>
        <c:axPos val="l"/>
        <c:majorGridlines/>
        <c:numFmt formatCode="#\ ##0.0" sourceLinked="1"/>
        <c:majorTickMark val="out"/>
        <c:minorTickMark val="none"/>
        <c:tickLblPos val="nextTo"/>
        <c:crossAx val="572194784"/>
        <c:crosses val="autoZero"/>
        <c:crossBetween val="between"/>
      </c:valAx>
    </c:plotArea>
    <c:legend>
      <c:legendPos val="b"/>
      <c:overlay val="0"/>
    </c:legend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6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hu-H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Idősorok_ábrák_Új!$D$96</c:f>
              <c:strCache>
                <c:ptCount val="1"/>
                <c:pt idx="0">
                  <c:v>Mg. új beruházási hitelei (milliárd Ft)</c:v>
                </c:pt>
              </c:strCache>
            </c:strRef>
          </c:tx>
          <c:invertIfNegative val="0"/>
          <c:cat>
            <c:strRef>
              <c:f>Idősorok_ábrák_Új!$E$93:$Z$93</c:f>
              <c:strCache>
                <c:ptCount val="22"/>
                <c:pt idx="0">
                  <c:v>2016. I. </c:v>
                </c:pt>
                <c:pt idx="1">
                  <c:v>2016.II.</c:v>
                </c:pt>
                <c:pt idx="2">
                  <c:v>2016.III.</c:v>
                </c:pt>
                <c:pt idx="3">
                  <c:v>2016.IV.</c:v>
                </c:pt>
                <c:pt idx="4">
                  <c:v>2017.I.</c:v>
                </c:pt>
                <c:pt idx="5">
                  <c:v>2017.II.</c:v>
                </c:pt>
                <c:pt idx="6">
                  <c:v>2017.III.</c:v>
                </c:pt>
                <c:pt idx="7">
                  <c:v>2017.IV.</c:v>
                </c:pt>
                <c:pt idx="8">
                  <c:v>2018.I.R</c:v>
                </c:pt>
                <c:pt idx="9">
                  <c:v>2018.I.Ú</c:v>
                </c:pt>
                <c:pt idx="10">
                  <c:v>2018.II.</c:v>
                </c:pt>
                <c:pt idx="11">
                  <c:v>2018.III.</c:v>
                </c:pt>
                <c:pt idx="12">
                  <c:v>2018.IV.</c:v>
                </c:pt>
                <c:pt idx="13">
                  <c:v>2019.I.</c:v>
                </c:pt>
                <c:pt idx="14">
                  <c:v>2019.II.</c:v>
                </c:pt>
                <c:pt idx="15">
                  <c:v>2019.III.</c:v>
                </c:pt>
                <c:pt idx="16">
                  <c:v>2019.IV.</c:v>
                </c:pt>
                <c:pt idx="17">
                  <c:v>2020.I.</c:v>
                </c:pt>
                <c:pt idx="18">
                  <c:v>2020.II.</c:v>
                </c:pt>
                <c:pt idx="19">
                  <c:v>2020.III.</c:v>
                </c:pt>
                <c:pt idx="20">
                  <c:v>2020.IV.</c:v>
                </c:pt>
                <c:pt idx="21">
                  <c:v>2021.I.</c:v>
                </c:pt>
              </c:strCache>
            </c:strRef>
          </c:cat>
          <c:val>
            <c:numRef>
              <c:f>Idősorok_ábrák_Új!$E$96:$Z$96</c:f>
              <c:numCache>
                <c:formatCode>#\ ##0.0</c:formatCode>
                <c:ptCount val="22"/>
                <c:pt idx="0">
                  <c:v>5.2041870000000001</c:v>
                </c:pt>
                <c:pt idx="1">
                  <c:v>9.7153404689999991</c:v>
                </c:pt>
                <c:pt idx="2">
                  <c:v>41.039499669000001</c:v>
                </c:pt>
                <c:pt idx="3">
                  <c:v>91.730631406000001</c:v>
                </c:pt>
                <c:pt idx="4">
                  <c:v>40.306591185999999</c:v>
                </c:pt>
                <c:pt idx="5">
                  <c:v>25.707198417000001</c:v>
                </c:pt>
                <c:pt idx="6">
                  <c:v>9.8588594109999992</c:v>
                </c:pt>
                <c:pt idx="7">
                  <c:v>18.019777470000001</c:v>
                </c:pt>
                <c:pt idx="8">
                  <c:v>6.6680000000000001</c:v>
                </c:pt>
                <c:pt idx="9">
                  <c:v>9.1470000000000002</c:v>
                </c:pt>
                <c:pt idx="10">
                  <c:v>19.657</c:v>
                </c:pt>
                <c:pt idx="11">
                  <c:v>17.131</c:v>
                </c:pt>
                <c:pt idx="12">
                  <c:v>21.619</c:v>
                </c:pt>
                <c:pt idx="13">
                  <c:v>20.033999999999999</c:v>
                </c:pt>
                <c:pt idx="14">
                  <c:v>23.099</c:v>
                </c:pt>
                <c:pt idx="15">
                  <c:v>26.706</c:v>
                </c:pt>
                <c:pt idx="16">
                  <c:v>20.588999999999999</c:v>
                </c:pt>
                <c:pt idx="17">
                  <c:v>15.983000000000001</c:v>
                </c:pt>
                <c:pt idx="18">
                  <c:v>32.481000000000002</c:v>
                </c:pt>
                <c:pt idx="19">
                  <c:v>33.094000000000001</c:v>
                </c:pt>
                <c:pt idx="20">
                  <c:v>43.902000000000001</c:v>
                </c:pt>
                <c:pt idx="21">
                  <c:v>24.071000000000002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9F04-4FA6-9164-3FFA044C89A9}"/>
            </c:ext>
          </c:extLst>
        </c:ser>
        <c:ser>
          <c:idx val="1"/>
          <c:order val="1"/>
          <c:tx>
            <c:strRef>
              <c:f>Idősorok_ábrák_Új!$D$101</c:f>
              <c:strCache>
                <c:ptCount val="1"/>
                <c:pt idx="0">
                  <c:v>Mg. új hosszú lejáratú forgóeszköz hitelei (milliárd Ft)</c:v>
                </c:pt>
              </c:strCache>
            </c:strRef>
          </c:tx>
          <c:invertIfNegative val="0"/>
          <c:cat>
            <c:strRef>
              <c:f>Idősorok_ábrák_Új!$E$93:$Z$93</c:f>
              <c:strCache>
                <c:ptCount val="22"/>
                <c:pt idx="0">
                  <c:v>2016. I. </c:v>
                </c:pt>
                <c:pt idx="1">
                  <c:v>2016.II.</c:v>
                </c:pt>
                <c:pt idx="2">
                  <c:v>2016.III.</c:v>
                </c:pt>
                <c:pt idx="3">
                  <c:v>2016.IV.</c:v>
                </c:pt>
                <c:pt idx="4">
                  <c:v>2017.I.</c:v>
                </c:pt>
                <c:pt idx="5">
                  <c:v>2017.II.</c:v>
                </c:pt>
                <c:pt idx="6">
                  <c:v>2017.III.</c:v>
                </c:pt>
                <c:pt idx="7">
                  <c:v>2017.IV.</c:v>
                </c:pt>
                <c:pt idx="8">
                  <c:v>2018.I.R</c:v>
                </c:pt>
                <c:pt idx="9">
                  <c:v>2018.I.Ú</c:v>
                </c:pt>
                <c:pt idx="10">
                  <c:v>2018.II.</c:v>
                </c:pt>
                <c:pt idx="11">
                  <c:v>2018.III.</c:v>
                </c:pt>
                <c:pt idx="12">
                  <c:v>2018.IV.</c:v>
                </c:pt>
                <c:pt idx="13">
                  <c:v>2019.I.</c:v>
                </c:pt>
                <c:pt idx="14">
                  <c:v>2019.II.</c:v>
                </c:pt>
                <c:pt idx="15">
                  <c:v>2019.III.</c:v>
                </c:pt>
                <c:pt idx="16">
                  <c:v>2019.IV.</c:v>
                </c:pt>
                <c:pt idx="17">
                  <c:v>2020.I.</c:v>
                </c:pt>
                <c:pt idx="18">
                  <c:v>2020.II.</c:v>
                </c:pt>
                <c:pt idx="19">
                  <c:v>2020.III.</c:v>
                </c:pt>
                <c:pt idx="20">
                  <c:v>2020.IV.</c:v>
                </c:pt>
                <c:pt idx="21">
                  <c:v>2021.I.</c:v>
                </c:pt>
              </c:strCache>
            </c:strRef>
          </c:cat>
          <c:val>
            <c:numRef>
              <c:f>Idősorok_ábrák_Új!$E$101:$Z$101</c:f>
              <c:numCache>
                <c:formatCode>#\ ##0.0</c:formatCode>
                <c:ptCount val="22"/>
                <c:pt idx="0">
                  <c:v>5.8797166489999997</c:v>
                </c:pt>
                <c:pt idx="1">
                  <c:v>12.941326766500801</c:v>
                </c:pt>
                <c:pt idx="2">
                  <c:v>16.2922810165295</c:v>
                </c:pt>
                <c:pt idx="3">
                  <c:v>12.522638815720001</c:v>
                </c:pt>
                <c:pt idx="4">
                  <c:v>52.758633538227997</c:v>
                </c:pt>
                <c:pt idx="5">
                  <c:v>13.071369409447</c:v>
                </c:pt>
                <c:pt idx="6">
                  <c:v>10.3355328958851</c:v>
                </c:pt>
                <c:pt idx="7">
                  <c:v>11.1071813507484</c:v>
                </c:pt>
                <c:pt idx="8">
                  <c:v>5.7760189999999998</c:v>
                </c:pt>
                <c:pt idx="9">
                  <c:v>10.179</c:v>
                </c:pt>
                <c:pt idx="10">
                  <c:v>8.2170000000000005</c:v>
                </c:pt>
                <c:pt idx="11">
                  <c:v>13.797000000000001</c:v>
                </c:pt>
                <c:pt idx="12">
                  <c:v>15.343</c:v>
                </c:pt>
                <c:pt idx="13">
                  <c:v>10.179</c:v>
                </c:pt>
                <c:pt idx="14">
                  <c:v>15.827999999999999</c:v>
                </c:pt>
                <c:pt idx="15">
                  <c:v>10.215999999999999</c:v>
                </c:pt>
                <c:pt idx="16">
                  <c:v>9.1379999999999999</c:v>
                </c:pt>
                <c:pt idx="17">
                  <c:v>5.0819999999999999</c:v>
                </c:pt>
                <c:pt idx="18">
                  <c:v>13.131</c:v>
                </c:pt>
                <c:pt idx="19">
                  <c:v>29.402999999999999</c:v>
                </c:pt>
                <c:pt idx="20">
                  <c:v>25.774000000000001</c:v>
                </c:pt>
                <c:pt idx="21">
                  <c:v>16.606999999999999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9F04-4FA6-9164-3FFA044C89A9}"/>
            </c:ext>
          </c:extLst>
        </c:ser>
        <c:ser>
          <c:idx val="2"/>
          <c:order val="2"/>
          <c:tx>
            <c:strRef>
              <c:f>Idősorok_ábrák_Új!$D$106</c:f>
              <c:strCache>
                <c:ptCount val="1"/>
                <c:pt idx="0">
                  <c:v>Mg. új forint folyószámla-, és egyéb éven belüli hitelei (milliárd Ft)</c:v>
                </c:pt>
              </c:strCache>
            </c:strRef>
          </c:tx>
          <c:invertIfNegative val="0"/>
          <c:cat>
            <c:strRef>
              <c:f>Idősorok_ábrák_Új!$E$93:$Z$93</c:f>
              <c:strCache>
                <c:ptCount val="22"/>
                <c:pt idx="0">
                  <c:v>2016. I. </c:v>
                </c:pt>
                <c:pt idx="1">
                  <c:v>2016.II.</c:v>
                </c:pt>
                <c:pt idx="2">
                  <c:v>2016.III.</c:v>
                </c:pt>
                <c:pt idx="3">
                  <c:v>2016.IV.</c:v>
                </c:pt>
                <c:pt idx="4">
                  <c:v>2017.I.</c:v>
                </c:pt>
                <c:pt idx="5">
                  <c:v>2017.II.</c:v>
                </c:pt>
                <c:pt idx="6">
                  <c:v>2017.III.</c:v>
                </c:pt>
                <c:pt idx="7">
                  <c:v>2017.IV.</c:v>
                </c:pt>
                <c:pt idx="8">
                  <c:v>2018.I.R</c:v>
                </c:pt>
                <c:pt idx="9">
                  <c:v>2018.I.Ú</c:v>
                </c:pt>
                <c:pt idx="10">
                  <c:v>2018.II.</c:v>
                </c:pt>
                <c:pt idx="11">
                  <c:v>2018.III.</c:v>
                </c:pt>
                <c:pt idx="12">
                  <c:v>2018.IV.</c:v>
                </c:pt>
                <c:pt idx="13">
                  <c:v>2019.I.</c:v>
                </c:pt>
                <c:pt idx="14">
                  <c:v>2019.II.</c:v>
                </c:pt>
                <c:pt idx="15">
                  <c:v>2019.III.</c:v>
                </c:pt>
                <c:pt idx="16">
                  <c:v>2019.IV.</c:v>
                </c:pt>
                <c:pt idx="17">
                  <c:v>2020.I.</c:v>
                </c:pt>
                <c:pt idx="18">
                  <c:v>2020.II.</c:v>
                </c:pt>
                <c:pt idx="19">
                  <c:v>2020.III.</c:v>
                </c:pt>
                <c:pt idx="20">
                  <c:v>2020.IV.</c:v>
                </c:pt>
                <c:pt idx="21">
                  <c:v>2021.I.</c:v>
                </c:pt>
              </c:strCache>
            </c:strRef>
          </c:cat>
          <c:val>
            <c:numRef>
              <c:f>Idősorok_ábrák_Új!$E$106:$Z$106</c:f>
              <c:numCache>
                <c:formatCode>#\ ##0.0</c:formatCode>
                <c:ptCount val="22"/>
                <c:pt idx="0">
                  <c:v>12.900368167</c:v>
                </c:pt>
                <c:pt idx="1">
                  <c:v>18.899604785000001</c:v>
                </c:pt>
                <c:pt idx="2">
                  <c:v>27.4482461118</c:v>
                </c:pt>
                <c:pt idx="3">
                  <c:v>22.007852494000002</c:v>
                </c:pt>
                <c:pt idx="4">
                  <c:v>12.548226572000001</c:v>
                </c:pt>
                <c:pt idx="5">
                  <c:v>23.168295695000001</c:v>
                </c:pt>
                <c:pt idx="6">
                  <c:v>29.032859683000002</c:v>
                </c:pt>
                <c:pt idx="7">
                  <c:v>32.418561210999997</c:v>
                </c:pt>
                <c:pt idx="8">
                  <c:v>14.239000000000001</c:v>
                </c:pt>
                <c:pt idx="9">
                  <c:v>14.239000000000001</c:v>
                </c:pt>
                <c:pt idx="10">
                  <c:v>22.763000000000002</c:v>
                </c:pt>
                <c:pt idx="11">
                  <c:v>28.983000000000001</c:v>
                </c:pt>
                <c:pt idx="12">
                  <c:v>34.067999999999998</c:v>
                </c:pt>
                <c:pt idx="13">
                  <c:v>23.960999999999999</c:v>
                </c:pt>
                <c:pt idx="14">
                  <c:v>27.652000000000001</c:v>
                </c:pt>
                <c:pt idx="15">
                  <c:v>37.005000000000003</c:v>
                </c:pt>
                <c:pt idx="16">
                  <c:v>45.027000000000001</c:v>
                </c:pt>
                <c:pt idx="17">
                  <c:v>29.844999999999999</c:v>
                </c:pt>
                <c:pt idx="18">
                  <c:v>30.236999999999998</c:v>
                </c:pt>
                <c:pt idx="19">
                  <c:v>42.127000000000002</c:v>
                </c:pt>
                <c:pt idx="20">
                  <c:v>35.963999999999999</c:v>
                </c:pt>
                <c:pt idx="21">
                  <c:v>20.053000000000001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9F04-4FA6-9164-3FFA044C89A9}"/>
            </c:ext>
          </c:extLst>
        </c:ser>
        <c:ser>
          <c:idx val="3"/>
          <c:order val="3"/>
          <c:tx>
            <c:strRef>
              <c:f>Idősorok_ábrák_Új!$D$111</c:f>
              <c:strCache>
                <c:ptCount val="1"/>
                <c:pt idx="0">
                  <c:v>Mg. új egyéb hitelei (milliárd Ft)</c:v>
                </c:pt>
              </c:strCache>
            </c:strRef>
          </c:tx>
          <c:invertIfNegative val="0"/>
          <c:cat>
            <c:strRef>
              <c:f>Idősorok_ábrák_Új!$E$93:$Z$93</c:f>
              <c:strCache>
                <c:ptCount val="22"/>
                <c:pt idx="0">
                  <c:v>2016. I. </c:v>
                </c:pt>
                <c:pt idx="1">
                  <c:v>2016.II.</c:v>
                </c:pt>
                <c:pt idx="2">
                  <c:v>2016.III.</c:v>
                </c:pt>
                <c:pt idx="3">
                  <c:v>2016.IV.</c:v>
                </c:pt>
                <c:pt idx="4">
                  <c:v>2017.I.</c:v>
                </c:pt>
                <c:pt idx="5">
                  <c:v>2017.II.</c:v>
                </c:pt>
                <c:pt idx="6">
                  <c:v>2017.III.</c:v>
                </c:pt>
                <c:pt idx="7">
                  <c:v>2017.IV.</c:v>
                </c:pt>
                <c:pt idx="8">
                  <c:v>2018.I.R</c:v>
                </c:pt>
                <c:pt idx="9">
                  <c:v>2018.I.Ú</c:v>
                </c:pt>
                <c:pt idx="10">
                  <c:v>2018.II.</c:v>
                </c:pt>
                <c:pt idx="11">
                  <c:v>2018.III.</c:v>
                </c:pt>
                <c:pt idx="12">
                  <c:v>2018.IV.</c:v>
                </c:pt>
                <c:pt idx="13">
                  <c:v>2019.I.</c:v>
                </c:pt>
                <c:pt idx="14">
                  <c:v>2019.II.</c:v>
                </c:pt>
                <c:pt idx="15">
                  <c:v>2019.III.</c:v>
                </c:pt>
                <c:pt idx="16">
                  <c:v>2019.IV.</c:v>
                </c:pt>
                <c:pt idx="17">
                  <c:v>2020.I.</c:v>
                </c:pt>
                <c:pt idx="18">
                  <c:v>2020.II.</c:v>
                </c:pt>
                <c:pt idx="19">
                  <c:v>2020.III.</c:v>
                </c:pt>
                <c:pt idx="20">
                  <c:v>2020.IV.</c:v>
                </c:pt>
                <c:pt idx="21">
                  <c:v>2021.I.</c:v>
                </c:pt>
              </c:strCache>
            </c:strRef>
          </c:cat>
          <c:val>
            <c:numRef>
              <c:f>Idősorok_ábrák_Új!$E$111:$Z$111</c:f>
              <c:numCache>
                <c:formatCode>#\ ##0.0</c:formatCode>
                <c:ptCount val="22"/>
                <c:pt idx="0">
                  <c:v>3.8573276719999998</c:v>
                </c:pt>
                <c:pt idx="1">
                  <c:v>8.8583674089999995</c:v>
                </c:pt>
                <c:pt idx="2">
                  <c:v>10.005877524000001</c:v>
                </c:pt>
                <c:pt idx="3">
                  <c:v>13.651054556</c:v>
                </c:pt>
                <c:pt idx="4">
                  <c:v>5.4705209999999997</c:v>
                </c:pt>
                <c:pt idx="5">
                  <c:v>9.0768123379999999</c:v>
                </c:pt>
                <c:pt idx="6">
                  <c:v>4.8306950000000004</c:v>
                </c:pt>
                <c:pt idx="7">
                  <c:v>4.4888703100000003</c:v>
                </c:pt>
                <c:pt idx="8">
                  <c:v>8.2880000000000003</c:v>
                </c:pt>
                <c:pt idx="9">
                  <c:v>8.298</c:v>
                </c:pt>
                <c:pt idx="10">
                  <c:v>13.497</c:v>
                </c:pt>
                <c:pt idx="11">
                  <c:v>9.5579999999999998</c:v>
                </c:pt>
                <c:pt idx="12">
                  <c:v>9.4049999999999994</c:v>
                </c:pt>
                <c:pt idx="13">
                  <c:v>10.571999999999999</c:v>
                </c:pt>
                <c:pt idx="14">
                  <c:v>8.6950000000000003</c:v>
                </c:pt>
                <c:pt idx="15">
                  <c:v>5.1020000000000003</c:v>
                </c:pt>
                <c:pt idx="16">
                  <c:v>2.1549999999999998</c:v>
                </c:pt>
                <c:pt idx="17">
                  <c:v>2.8759999999999999</c:v>
                </c:pt>
                <c:pt idx="18">
                  <c:v>3.0760000000000001</c:v>
                </c:pt>
                <c:pt idx="19">
                  <c:v>2.4390000000000001</c:v>
                </c:pt>
                <c:pt idx="20">
                  <c:v>5.4189999999999996</c:v>
                </c:pt>
                <c:pt idx="21">
                  <c:v>6.8630000000000004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9F04-4FA6-9164-3FFA044C89A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572190472"/>
        <c:axId val="572198312"/>
      </c:barChart>
      <c:catAx>
        <c:axId val="57219047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572198312"/>
        <c:crosses val="autoZero"/>
        <c:auto val="1"/>
        <c:lblAlgn val="ctr"/>
        <c:lblOffset val="100"/>
        <c:noMultiLvlLbl val="0"/>
      </c:catAx>
      <c:valAx>
        <c:axId val="572198312"/>
        <c:scaling>
          <c:orientation val="minMax"/>
        </c:scaling>
        <c:delete val="0"/>
        <c:axPos val="l"/>
        <c:majorGridlines/>
        <c:numFmt formatCode="#\ ##0.0" sourceLinked="1"/>
        <c:majorTickMark val="out"/>
        <c:minorTickMark val="none"/>
        <c:tickLblPos val="nextTo"/>
        <c:crossAx val="572190472"/>
        <c:crosses val="autoZero"/>
        <c:crossBetween val="between"/>
      </c:valAx>
    </c:plotArea>
    <c:legend>
      <c:legendPos val="b"/>
      <c:overlay val="0"/>
    </c:legend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6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hu-H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Idősorok_ábrák_Új!$D$153</c:f>
              <c:strCache>
                <c:ptCount val="1"/>
                <c:pt idx="0">
                  <c:v>Élip új beruházási hitelei (milliárd Ft)</c:v>
                </c:pt>
              </c:strCache>
            </c:strRef>
          </c:tx>
          <c:invertIfNegative val="0"/>
          <c:cat>
            <c:strRef>
              <c:f>Idősorok_ábrák_Új!$E$150:$Z$150</c:f>
              <c:strCache>
                <c:ptCount val="22"/>
                <c:pt idx="0">
                  <c:v>2016. I. </c:v>
                </c:pt>
                <c:pt idx="1">
                  <c:v>2016.II.</c:v>
                </c:pt>
                <c:pt idx="2">
                  <c:v>2016.III.</c:v>
                </c:pt>
                <c:pt idx="3">
                  <c:v>2016.IV.</c:v>
                </c:pt>
                <c:pt idx="4">
                  <c:v>2017.I.</c:v>
                </c:pt>
                <c:pt idx="5">
                  <c:v>2017.II.</c:v>
                </c:pt>
                <c:pt idx="6">
                  <c:v>2017.III.</c:v>
                </c:pt>
                <c:pt idx="7">
                  <c:v>2017.IV.</c:v>
                </c:pt>
                <c:pt idx="8">
                  <c:v>2018.I.R</c:v>
                </c:pt>
                <c:pt idx="9">
                  <c:v>2018.I.Ú</c:v>
                </c:pt>
                <c:pt idx="10">
                  <c:v>2018.II.</c:v>
                </c:pt>
                <c:pt idx="11">
                  <c:v>2018.III.</c:v>
                </c:pt>
                <c:pt idx="12">
                  <c:v>2018.IV.</c:v>
                </c:pt>
                <c:pt idx="13">
                  <c:v>2019.I.</c:v>
                </c:pt>
                <c:pt idx="14">
                  <c:v>2019.II.</c:v>
                </c:pt>
                <c:pt idx="15">
                  <c:v>2019.III.</c:v>
                </c:pt>
                <c:pt idx="16">
                  <c:v>2019.IV.</c:v>
                </c:pt>
                <c:pt idx="17">
                  <c:v>2020.I.</c:v>
                </c:pt>
                <c:pt idx="18">
                  <c:v>2020.II.</c:v>
                </c:pt>
                <c:pt idx="19">
                  <c:v>2020.III.</c:v>
                </c:pt>
                <c:pt idx="20">
                  <c:v>2020.IV.</c:v>
                </c:pt>
                <c:pt idx="21">
                  <c:v>2021.I.</c:v>
                </c:pt>
              </c:strCache>
            </c:strRef>
          </c:cat>
          <c:val>
            <c:numRef>
              <c:f>Idősorok_ábrák_Új!$E$153:$Z$153</c:f>
              <c:numCache>
                <c:formatCode>#\ ##0.0</c:formatCode>
                <c:ptCount val="22"/>
                <c:pt idx="0">
                  <c:v>4.4228846404200004</c:v>
                </c:pt>
                <c:pt idx="1">
                  <c:v>14.358268027147201</c:v>
                </c:pt>
                <c:pt idx="2">
                  <c:v>11.3599812459685</c:v>
                </c:pt>
                <c:pt idx="3">
                  <c:v>18.653927037397199</c:v>
                </c:pt>
                <c:pt idx="4">
                  <c:v>8.8101498499749997</c:v>
                </c:pt>
                <c:pt idx="5">
                  <c:v>25.813940797323799</c:v>
                </c:pt>
                <c:pt idx="6">
                  <c:v>11.5007445283479</c:v>
                </c:pt>
                <c:pt idx="7">
                  <c:v>16.659617324505</c:v>
                </c:pt>
                <c:pt idx="8">
                  <c:v>10.75601</c:v>
                </c:pt>
                <c:pt idx="9">
                  <c:v>10.901999999999999</c:v>
                </c:pt>
                <c:pt idx="10">
                  <c:v>19.957000000000001</c:v>
                </c:pt>
                <c:pt idx="11">
                  <c:v>12.321</c:v>
                </c:pt>
                <c:pt idx="12">
                  <c:v>67.599999999999994</c:v>
                </c:pt>
                <c:pt idx="13">
                  <c:v>15.933</c:v>
                </c:pt>
                <c:pt idx="14">
                  <c:v>15.933</c:v>
                </c:pt>
                <c:pt idx="15">
                  <c:v>11.451000000000001</c:v>
                </c:pt>
                <c:pt idx="16">
                  <c:v>28.981999999999999</c:v>
                </c:pt>
                <c:pt idx="17">
                  <c:v>9.1280000000000001</c:v>
                </c:pt>
                <c:pt idx="18">
                  <c:v>8.1720000000000006</c:v>
                </c:pt>
                <c:pt idx="19">
                  <c:v>8.1669999999999998</c:v>
                </c:pt>
                <c:pt idx="20">
                  <c:v>9.343</c:v>
                </c:pt>
                <c:pt idx="21">
                  <c:v>6.3319999999999999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20AF-4E2A-851D-5CCE3EFD8C9B}"/>
            </c:ext>
          </c:extLst>
        </c:ser>
        <c:ser>
          <c:idx val="1"/>
          <c:order val="1"/>
          <c:tx>
            <c:strRef>
              <c:f>Idősorok_ábrák_Új!$D$158</c:f>
              <c:strCache>
                <c:ptCount val="1"/>
                <c:pt idx="0">
                  <c:v>Élip új hosszú lejáratú forgóeszköz hitelei (milliárd Ft)</c:v>
                </c:pt>
              </c:strCache>
            </c:strRef>
          </c:tx>
          <c:invertIfNegative val="0"/>
          <c:cat>
            <c:strRef>
              <c:f>Idősorok_ábrák_Új!$E$150:$Z$150</c:f>
              <c:strCache>
                <c:ptCount val="22"/>
                <c:pt idx="0">
                  <c:v>2016. I. </c:v>
                </c:pt>
                <c:pt idx="1">
                  <c:v>2016.II.</c:v>
                </c:pt>
                <c:pt idx="2">
                  <c:v>2016.III.</c:v>
                </c:pt>
                <c:pt idx="3">
                  <c:v>2016.IV.</c:v>
                </c:pt>
                <c:pt idx="4">
                  <c:v>2017.I.</c:v>
                </c:pt>
                <c:pt idx="5">
                  <c:v>2017.II.</c:v>
                </c:pt>
                <c:pt idx="6">
                  <c:v>2017.III.</c:v>
                </c:pt>
                <c:pt idx="7">
                  <c:v>2017.IV.</c:v>
                </c:pt>
                <c:pt idx="8">
                  <c:v>2018.I.R</c:v>
                </c:pt>
                <c:pt idx="9">
                  <c:v>2018.I.Ú</c:v>
                </c:pt>
                <c:pt idx="10">
                  <c:v>2018.II.</c:v>
                </c:pt>
                <c:pt idx="11">
                  <c:v>2018.III.</c:v>
                </c:pt>
                <c:pt idx="12">
                  <c:v>2018.IV.</c:v>
                </c:pt>
                <c:pt idx="13">
                  <c:v>2019.I.</c:v>
                </c:pt>
                <c:pt idx="14">
                  <c:v>2019.II.</c:v>
                </c:pt>
                <c:pt idx="15">
                  <c:v>2019.III.</c:v>
                </c:pt>
                <c:pt idx="16">
                  <c:v>2019.IV.</c:v>
                </c:pt>
                <c:pt idx="17">
                  <c:v>2020.I.</c:v>
                </c:pt>
                <c:pt idx="18">
                  <c:v>2020.II.</c:v>
                </c:pt>
                <c:pt idx="19">
                  <c:v>2020.III.</c:v>
                </c:pt>
                <c:pt idx="20">
                  <c:v>2020.IV.</c:v>
                </c:pt>
                <c:pt idx="21">
                  <c:v>2021.I.</c:v>
                </c:pt>
              </c:strCache>
            </c:strRef>
          </c:cat>
          <c:val>
            <c:numRef>
              <c:f>Idősorok_ábrák_Új!$E$158:$Z$158</c:f>
              <c:numCache>
                <c:formatCode>#\ ##0.0</c:formatCode>
                <c:ptCount val="22"/>
                <c:pt idx="0">
                  <c:v>0.88456384499999996</c:v>
                </c:pt>
                <c:pt idx="1">
                  <c:v>5.6493989119999997</c:v>
                </c:pt>
                <c:pt idx="2">
                  <c:v>4.5181132938105</c:v>
                </c:pt>
                <c:pt idx="3">
                  <c:v>10.1947512050542</c:v>
                </c:pt>
                <c:pt idx="4">
                  <c:v>5.0739796272</c:v>
                </c:pt>
                <c:pt idx="5">
                  <c:v>7.0111261239799996</c:v>
                </c:pt>
                <c:pt idx="6">
                  <c:v>4.9681870129999997</c:v>
                </c:pt>
                <c:pt idx="7">
                  <c:v>8.3368276879999996</c:v>
                </c:pt>
                <c:pt idx="8">
                  <c:v>4.7396440000000002</c:v>
                </c:pt>
                <c:pt idx="9">
                  <c:v>4.74</c:v>
                </c:pt>
                <c:pt idx="10">
                  <c:v>14.839</c:v>
                </c:pt>
                <c:pt idx="11">
                  <c:v>15.635</c:v>
                </c:pt>
                <c:pt idx="12">
                  <c:v>12.462</c:v>
                </c:pt>
                <c:pt idx="13">
                  <c:v>4.5179999999999998</c:v>
                </c:pt>
                <c:pt idx="14">
                  <c:v>2.8679999999999999</c:v>
                </c:pt>
                <c:pt idx="15">
                  <c:v>12.544</c:v>
                </c:pt>
                <c:pt idx="16">
                  <c:v>14.961</c:v>
                </c:pt>
                <c:pt idx="17">
                  <c:v>6.6989999999999998</c:v>
                </c:pt>
                <c:pt idx="18">
                  <c:v>11.496</c:v>
                </c:pt>
                <c:pt idx="19">
                  <c:v>52.755000000000003</c:v>
                </c:pt>
                <c:pt idx="20">
                  <c:v>27.981000000000002</c:v>
                </c:pt>
                <c:pt idx="21">
                  <c:v>8.6959999999999997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20AF-4E2A-851D-5CCE3EFD8C9B}"/>
            </c:ext>
          </c:extLst>
        </c:ser>
        <c:ser>
          <c:idx val="2"/>
          <c:order val="2"/>
          <c:tx>
            <c:strRef>
              <c:f>Idősorok_ábrák_Új!$D$163</c:f>
              <c:strCache>
                <c:ptCount val="1"/>
                <c:pt idx="0">
                  <c:v>Élip új forint folyószámla-, és egyéb éven belüli hitelei (milliárd Ft)</c:v>
                </c:pt>
              </c:strCache>
            </c:strRef>
          </c:tx>
          <c:invertIfNegative val="0"/>
          <c:cat>
            <c:strRef>
              <c:f>Idősorok_ábrák_Új!$E$150:$Z$150</c:f>
              <c:strCache>
                <c:ptCount val="22"/>
                <c:pt idx="0">
                  <c:v>2016. I. </c:v>
                </c:pt>
                <c:pt idx="1">
                  <c:v>2016.II.</c:v>
                </c:pt>
                <c:pt idx="2">
                  <c:v>2016.III.</c:v>
                </c:pt>
                <c:pt idx="3">
                  <c:v>2016.IV.</c:v>
                </c:pt>
                <c:pt idx="4">
                  <c:v>2017.I.</c:v>
                </c:pt>
                <c:pt idx="5">
                  <c:v>2017.II.</c:v>
                </c:pt>
                <c:pt idx="6">
                  <c:v>2017.III.</c:v>
                </c:pt>
                <c:pt idx="7">
                  <c:v>2017.IV.</c:v>
                </c:pt>
                <c:pt idx="8">
                  <c:v>2018.I.R</c:v>
                </c:pt>
                <c:pt idx="9">
                  <c:v>2018.I.Ú</c:v>
                </c:pt>
                <c:pt idx="10">
                  <c:v>2018.II.</c:v>
                </c:pt>
                <c:pt idx="11">
                  <c:v>2018.III.</c:v>
                </c:pt>
                <c:pt idx="12">
                  <c:v>2018.IV.</c:v>
                </c:pt>
                <c:pt idx="13">
                  <c:v>2019.I.</c:v>
                </c:pt>
                <c:pt idx="14">
                  <c:v>2019.II.</c:v>
                </c:pt>
                <c:pt idx="15">
                  <c:v>2019.III.</c:v>
                </c:pt>
                <c:pt idx="16">
                  <c:v>2019.IV.</c:v>
                </c:pt>
                <c:pt idx="17">
                  <c:v>2020.I.</c:v>
                </c:pt>
                <c:pt idx="18">
                  <c:v>2020.II.</c:v>
                </c:pt>
                <c:pt idx="19">
                  <c:v>2020.III.</c:v>
                </c:pt>
                <c:pt idx="20">
                  <c:v>2020.IV.</c:v>
                </c:pt>
                <c:pt idx="21">
                  <c:v>2021.I.</c:v>
                </c:pt>
              </c:strCache>
            </c:strRef>
          </c:cat>
          <c:val>
            <c:numRef>
              <c:f>Idősorok_ábrák_Új!$E$163:$Z$163</c:f>
              <c:numCache>
                <c:formatCode>#\ ##0.0</c:formatCode>
                <c:ptCount val="22"/>
                <c:pt idx="0">
                  <c:v>26.372445337999999</c:v>
                </c:pt>
                <c:pt idx="1">
                  <c:v>36.404818003999999</c:v>
                </c:pt>
                <c:pt idx="2">
                  <c:v>51.337082723000002</c:v>
                </c:pt>
                <c:pt idx="3">
                  <c:v>35.476439717142</c:v>
                </c:pt>
                <c:pt idx="4">
                  <c:v>23.52133305988</c:v>
                </c:pt>
                <c:pt idx="5">
                  <c:v>25.0517032701812</c:v>
                </c:pt>
                <c:pt idx="6">
                  <c:v>48.075726232999997</c:v>
                </c:pt>
                <c:pt idx="7">
                  <c:v>40.420357306</c:v>
                </c:pt>
                <c:pt idx="8">
                  <c:v>23.696000000000002</c:v>
                </c:pt>
                <c:pt idx="9">
                  <c:v>23.696000000000002</c:v>
                </c:pt>
                <c:pt idx="10">
                  <c:v>21.035</c:v>
                </c:pt>
                <c:pt idx="11">
                  <c:v>46.244999999999997</c:v>
                </c:pt>
                <c:pt idx="12">
                  <c:v>46.713999999999999</c:v>
                </c:pt>
                <c:pt idx="13">
                  <c:v>24.312000000000001</c:v>
                </c:pt>
                <c:pt idx="14">
                  <c:v>28.942</c:v>
                </c:pt>
                <c:pt idx="15">
                  <c:v>45.686999999999998</c:v>
                </c:pt>
                <c:pt idx="16">
                  <c:v>45.689</c:v>
                </c:pt>
                <c:pt idx="17">
                  <c:v>33.497</c:v>
                </c:pt>
                <c:pt idx="18">
                  <c:v>27.513000000000002</c:v>
                </c:pt>
                <c:pt idx="19">
                  <c:v>52.779000000000003</c:v>
                </c:pt>
                <c:pt idx="20">
                  <c:v>42.273000000000003</c:v>
                </c:pt>
                <c:pt idx="21">
                  <c:v>43.273000000000003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20AF-4E2A-851D-5CCE3EFD8C9B}"/>
            </c:ext>
          </c:extLst>
        </c:ser>
        <c:ser>
          <c:idx val="3"/>
          <c:order val="3"/>
          <c:tx>
            <c:strRef>
              <c:f>Idősorok_ábrák_Új!$D$168</c:f>
              <c:strCache>
                <c:ptCount val="1"/>
                <c:pt idx="0">
                  <c:v>Élip új egyéb hitelei (milliárd Ft)</c:v>
                </c:pt>
              </c:strCache>
            </c:strRef>
          </c:tx>
          <c:invertIfNegative val="0"/>
          <c:cat>
            <c:strRef>
              <c:f>Idősorok_ábrák_Új!$E$150:$Z$150</c:f>
              <c:strCache>
                <c:ptCount val="22"/>
                <c:pt idx="0">
                  <c:v>2016. I. </c:v>
                </c:pt>
                <c:pt idx="1">
                  <c:v>2016.II.</c:v>
                </c:pt>
                <c:pt idx="2">
                  <c:v>2016.III.</c:v>
                </c:pt>
                <c:pt idx="3">
                  <c:v>2016.IV.</c:v>
                </c:pt>
                <c:pt idx="4">
                  <c:v>2017.I.</c:v>
                </c:pt>
                <c:pt idx="5">
                  <c:v>2017.II.</c:v>
                </c:pt>
                <c:pt idx="6">
                  <c:v>2017.III.</c:v>
                </c:pt>
                <c:pt idx="7">
                  <c:v>2017.IV.</c:v>
                </c:pt>
                <c:pt idx="8">
                  <c:v>2018.I.R</c:v>
                </c:pt>
                <c:pt idx="9">
                  <c:v>2018.I.Ú</c:v>
                </c:pt>
                <c:pt idx="10">
                  <c:v>2018.II.</c:v>
                </c:pt>
                <c:pt idx="11">
                  <c:v>2018.III.</c:v>
                </c:pt>
                <c:pt idx="12">
                  <c:v>2018.IV.</c:v>
                </c:pt>
                <c:pt idx="13">
                  <c:v>2019.I.</c:v>
                </c:pt>
                <c:pt idx="14">
                  <c:v>2019.II.</c:v>
                </c:pt>
                <c:pt idx="15">
                  <c:v>2019.III.</c:v>
                </c:pt>
                <c:pt idx="16">
                  <c:v>2019.IV.</c:v>
                </c:pt>
                <c:pt idx="17">
                  <c:v>2020.I.</c:v>
                </c:pt>
                <c:pt idx="18">
                  <c:v>2020.II.</c:v>
                </c:pt>
                <c:pt idx="19">
                  <c:v>2020.III.</c:v>
                </c:pt>
                <c:pt idx="20">
                  <c:v>2020.IV.</c:v>
                </c:pt>
                <c:pt idx="21">
                  <c:v>2021.I.</c:v>
                </c:pt>
              </c:strCache>
            </c:strRef>
          </c:cat>
          <c:val>
            <c:numRef>
              <c:f>Idősorok_ábrák_Új!$E$168:$Z$168</c:f>
              <c:numCache>
                <c:formatCode>#\ ##0.0</c:formatCode>
                <c:ptCount val="22"/>
                <c:pt idx="0">
                  <c:v>2.6724320000000001</c:v>
                </c:pt>
                <c:pt idx="1">
                  <c:v>1.741752</c:v>
                </c:pt>
                <c:pt idx="2">
                  <c:v>4.2529169290000004</c:v>
                </c:pt>
                <c:pt idx="3">
                  <c:v>4.9242215040000001</c:v>
                </c:pt>
                <c:pt idx="4">
                  <c:v>1.3843510000000001</c:v>
                </c:pt>
                <c:pt idx="5">
                  <c:v>1.779304</c:v>
                </c:pt>
                <c:pt idx="6">
                  <c:v>6.3928450000000003</c:v>
                </c:pt>
                <c:pt idx="7">
                  <c:v>5.9207472020000003</c:v>
                </c:pt>
                <c:pt idx="8">
                  <c:v>1.3879999999999999</c:v>
                </c:pt>
                <c:pt idx="9">
                  <c:v>1.3879999999999999</c:v>
                </c:pt>
                <c:pt idx="10">
                  <c:v>8.9570000000000007</c:v>
                </c:pt>
                <c:pt idx="11">
                  <c:v>2.0059999999999998</c:v>
                </c:pt>
                <c:pt idx="12">
                  <c:v>4.3550000000000004</c:v>
                </c:pt>
                <c:pt idx="13">
                  <c:v>4.3209999999999997</c:v>
                </c:pt>
                <c:pt idx="14">
                  <c:v>1.9510000000000001</c:v>
                </c:pt>
                <c:pt idx="15">
                  <c:v>2.754</c:v>
                </c:pt>
                <c:pt idx="16">
                  <c:v>2.734</c:v>
                </c:pt>
                <c:pt idx="17">
                  <c:v>8.9320000000000004</c:v>
                </c:pt>
                <c:pt idx="18">
                  <c:v>1.9630000000000001</c:v>
                </c:pt>
                <c:pt idx="19">
                  <c:v>4.1840000000000002</c:v>
                </c:pt>
                <c:pt idx="20">
                  <c:v>13.907999999999999</c:v>
                </c:pt>
                <c:pt idx="21">
                  <c:v>12.68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20AF-4E2A-851D-5CCE3EFD8C9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572197528"/>
        <c:axId val="572193608"/>
      </c:barChart>
      <c:catAx>
        <c:axId val="572197528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572193608"/>
        <c:crosses val="autoZero"/>
        <c:auto val="1"/>
        <c:lblAlgn val="ctr"/>
        <c:lblOffset val="100"/>
        <c:noMultiLvlLbl val="0"/>
      </c:catAx>
      <c:valAx>
        <c:axId val="572193608"/>
        <c:scaling>
          <c:orientation val="minMax"/>
        </c:scaling>
        <c:delete val="0"/>
        <c:axPos val="l"/>
        <c:majorGridlines/>
        <c:numFmt formatCode="#\ ##0.0" sourceLinked="1"/>
        <c:majorTickMark val="out"/>
        <c:minorTickMark val="none"/>
        <c:tickLblPos val="nextTo"/>
        <c:crossAx val="572197528"/>
        <c:crosses val="autoZero"/>
        <c:crossBetween val="between"/>
      </c:valAx>
    </c:plotArea>
    <c:legend>
      <c:legendPos val="b"/>
      <c:overlay val="0"/>
    </c:legend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7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hu-H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4251435137606935E-2"/>
          <c:y val="4.0800429411194494E-2"/>
          <c:w val="0.91741523393500868"/>
          <c:h val="0.63015977047913785"/>
        </c:manualLayout>
      </c:layout>
      <c:lineChart>
        <c:grouping val="standard"/>
        <c:varyColors val="0"/>
        <c:ser>
          <c:idx val="0"/>
          <c:order val="0"/>
          <c:tx>
            <c:strRef>
              <c:f>Idősorok_ábrák_Új!$D$106</c:f>
              <c:strCache>
                <c:ptCount val="1"/>
                <c:pt idx="0">
                  <c:v>Mg. új forint folyószámla-, és egyéb éven belüli hitelei (milliárd Ft)</c:v>
                </c:pt>
              </c:strCache>
            </c:strRef>
          </c:tx>
          <c:marker>
            <c:symbol val="none"/>
          </c:marker>
          <c:cat>
            <c:strRef>
              <c:f>Idősorok_ábrák_Új!$E$108:$Y$108</c:f>
              <c:strCache>
                <c:ptCount val="21"/>
                <c:pt idx="0">
                  <c:v>2016. I. </c:v>
                </c:pt>
                <c:pt idx="1">
                  <c:v>2016.II.</c:v>
                </c:pt>
                <c:pt idx="2">
                  <c:v>2016.III.</c:v>
                </c:pt>
                <c:pt idx="3">
                  <c:v>2016.IV.</c:v>
                </c:pt>
                <c:pt idx="4">
                  <c:v>2017.I.</c:v>
                </c:pt>
                <c:pt idx="5">
                  <c:v>2017.II.</c:v>
                </c:pt>
                <c:pt idx="6">
                  <c:v>2017.III.</c:v>
                </c:pt>
                <c:pt idx="7">
                  <c:v>2017.IV.</c:v>
                </c:pt>
                <c:pt idx="8">
                  <c:v>2018.I.R</c:v>
                </c:pt>
                <c:pt idx="9">
                  <c:v>2018.I.Ú</c:v>
                </c:pt>
                <c:pt idx="10">
                  <c:v>2018.II.</c:v>
                </c:pt>
                <c:pt idx="11">
                  <c:v>2018.III.</c:v>
                </c:pt>
                <c:pt idx="12">
                  <c:v>2018.IV.</c:v>
                </c:pt>
                <c:pt idx="13">
                  <c:v>2019.I.</c:v>
                </c:pt>
                <c:pt idx="14">
                  <c:v>2019.II.</c:v>
                </c:pt>
                <c:pt idx="15">
                  <c:v>2019.III.</c:v>
                </c:pt>
                <c:pt idx="16">
                  <c:v>2019.IV.</c:v>
                </c:pt>
                <c:pt idx="17">
                  <c:v>2020.I.</c:v>
                </c:pt>
                <c:pt idx="18">
                  <c:v>2020.II.</c:v>
                </c:pt>
                <c:pt idx="19">
                  <c:v>2020.III.</c:v>
                </c:pt>
                <c:pt idx="20">
                  <c:v>2020.IV.</c:v>
                </c:pt>
              </c:strCache>
            </c:strRef>
          </c:cat>
          <c:val>
            <c:numRef>
              <c:f>Idősorok_ábrák_Új!$E$106:$Y$106</c:f>
              <c:numCache>
                <c:formatCode>#\ ##0.0</c:formatCode>
                <c:ptCount val="21"/>
                <c:pt idx="0">
                  <c:v>12.900368167</c:v>
                </c:pt>
                <c:pt idx="1">
                  <c:v>18.899604785000001</c:v>
                </c:pt>
                <c:pt idx="2">
                  <c:v>27.4482461118</c:v>
                </c:pt>
                <c:pt idx="3">
                  <c:v>22.007852494000002</c:v>
                </c:pt>
                <c:pt idx="4">
                  <c:v>12.548226572000001</c:v>
                </c:pt>
                <c:pt idx="5">
                  <c:v>23.168295695000001</c:v>
                </c:pt>
                <c:pt idx="6">
                  <c:v>29.032859683000002</c:v>
                </c:pt>
                <c:pt idx="7">
                  <c:v>32.418561210999997</c:v>
                </c:pt>
                <c:pt idx="8">
                  <c:v>14.239000000000001</c:v>
                </c:pt>
                <c:pt idx="9">
                  <c:v>14.239000000000001</c:v>
                </c:pt>
                <c:pt idx="10">
                  <c:v>22.763000000000002</c:v>
                </c:pt>
                <c:pt idx="11">
                  <c:v>28.983000000000001</c:v>
                </c:pt>
                <c:pt idx="12">
                  <c:v>34.067999999999998</c:v>
                </c:pt>
                <c:pt idx="13">
                  <c:v>23.960999999999999</c:v>
                </c:pt>
                <c:pt idx="14">
                  <c:v>27.652000000000001</c:v>
                </c:pt>
                <c:pt idx="15">
                  <c:v>37.005000000000003</c:v>
                </c:pt>
                <c:pt idx="16">
                  <c:v>45.027000000000001</c:v>
                </c:pt>
                <c:pt idx="17">
                  <c:v>29.844999999999999</c:v>
                </c:pt>
                <c:pt idx="18">
                  <c:v>30.236999999999998</c:v>
                </c:pt>
                <c:pt idx="19">
                  <c:v>42.127000000000002</c:v>
                </c:pt>
                <c:pt idx="20">
                  <c:v>35.963999999999999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CA73-4DDC-87DD-21D6CF9B492B}"/>
            </c:ext>
          </c:extLst>
        </c:ser>
        <c:ser>
          <c:idx val="1"/>
          <c:order val="1"/>
          <c:tx>
            <c:strRef>
              <c:f>Idősorok_ábrák_Új!$D$96</c:f>
              <c:strCache>
                <c:ptCount val="1"/>
                <c:pt idx="0">
                  <c:v>Mg. új beruházási hitelei (milliárd Ft)</c:v>
                </c:pt>
              </c:strCache>
            </c:strRef>
          </c:tx>
          <c:marker>
            <c:symbol val="none"/>
          </c:marker>
          <c:cat>
            <c:strRef>
              <c:f>Idősorok_ábrák_Új!$E$108:$Y$108</c:f>
              <c:strCache>
                <c:ptCount val="21"/>
                <c:pt idx="0">
                  <c:v>2016. I. </c:v>
                </c:pt>
                <c:pt idx="1">
                  <c:v>2016.II.</c:v>
                </c:pt>
                <c:pt idx="2">
                  <c:v>2016.III.</c:v>
                </c:pt>
                <c:pt idx="3">
                  <c:v>2016.IV.</c:v>
                </c:pt>
                <c:pt idx="4">
                  <c:v>2017.I.</c:v>
                </c:pt>
                <c:pt idx="5">
                  <c:v>2017.II.</c:v>
                </c:pt>
                <c:pt idx="6">
                  <c:v>2017.III.</c:v>
                </c:pt>
                <c:pt idx="7">
                  <c:v>2017.IV.</c:v>
                </c:pt>
                <c:pt idx="8">
                  <c:v>2018.I.R</c:v>
                </c:pt>
                <c:pt idx="9">
                  <c:v>2018.I.Ú</c:v>
                </c:pt>
                <c:pt idx="10">
                  <c:v>2018.II.</c:v>
                </c:pt>
                <c:pt idx="11">
                  <c:v>2018.III.</c:v>
                </c:pt>
                <c:pt idx="12">
                  <c:v>2018.IV.</c:v>
                </c:pt>
                <c:pt idx="13">
                  <c:v>2019.I.</c:v>
                </c:pt>
                <c:pt idx="14">
                  <c:v>2019.II.</c:v>
                </c:pt>
                <c:pt idx="15">
                  <c:v>2019.III.</c:v>
                </c:pt>
                <c:pt idx="16">
                  <c:v>2019.IV.</c:v>
                </c:pt>
                <c:pt idx="17">
                  <c:v>2020.I.</c:v>
                </c:pt>
                <c:pt idx="18">
                  <c:v>2020.II.</c:v>
                </c:pt>
                <c:pt idx="19">
                  <c:v>2020.III.</c:v>
                </c:pt>
                <c:pt idx="20">
                  <c:v>2020.IV.</c:v>
                </c:pt>
              </c:strCache>
            </c:strRef>
          </c:cat>
          <c:val>
            <c:numRef>
              <c:f>Idősorok_ábrák_Új!$E$96:$Y$96</c:f>
              <c:numCache>
                <c:formatCode>#\ ##0.0</c:formatCode>
                <c:ptCount val="21"/>
                <c:pt idx="0">
                  <c:v>5.2041870000000001</c:v>
                </c:pt>
                <c:pt idx="1">
                  <c:v>9.7153404689999991</c:v>
                </c:pt>
                <c:pt idx="2">
                  <c:v>41.039499669000001</c:v>
                </c:pt>
                <c:pt idx="3">
                  <c:v>91.730631406000001</c:v>
                </c:pt>
                <c:pt idx="4">
                  <c:v>40.306591185999999</c:v>
                </c:pt>
                <c:pt idx="5">
                  <c:v>25.707198417000001</c:v>
                </c:pt>
                <c:pt idx="6">
                  <c:v>9.8588594109999992</c:v>
                </c:pt>
                <c:pt idx="7">
                  <c:v>18.019777470000001</c:v>
                </c:pt>
                <c:pt idx="8">
                  <c:v>6.6680000000000001</c:v>
                </c:pt>
                <c:pt idx="9">
                  <c:v>9.1470000000000002</c:v>
                </c:pt>
                <c:pt idx="10">
                  <c:v>19.657</c:v>
                </c:pt>
                <c:pt idx="11">
                  <c:v>17.131</c:v>
                </c:pt>
                <c:pt idx="12">
                  <c:v>21.619</c:v>
                </c:pt>
                <c:pt idx="13">
                  <c:v>20.033999999999999</c:v>
                </c:pt>
                <c:pt idx="14">
                  <c:v>23.099</c:v>
                </c:pt>
                <c:pt idx="15">
                  <c:v>26.706</c:v>
                </c:pt>
                <c:pt idx="16">
                  <c:v>20.588999999999999</c:v>
                </c:pt>
                <c:pt idx="17">
                  <c:v>15.983000000000001</c:v>
                </c:pt>
                <c:pt idx="18">
                  <c:v>32.481000000000002</c:v>
                </c:pt>
                <c:pt idx="19">
                  <c:v>33.094000000000001</c:v>
                </c:pt>
                <c:pt idx="20">
                  <c:v>43.902000000000001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CA73-4DDC-87DD-21D6CF9B492B}"/>
            </c:ext>
          </c:extLst>
        </c:ser>
        <c:ser>
          <c:idx val="2"/>
          <c:order val="2"/>
          <c:tx>
            <c:strRef>
              <c:f>Idősorok_ábrák_Új!$D$101</c:f>
              <c:strCache>
                <c:ptCount val="1"/>
                <c:pt idx="0">
                  <c:v>Mg. új hosszú lejáratú forgóeszköz hitelei (milliárd Ft)</c:v>
                </c:pt>
              </c:strCache>
            </c:strRef>
          </c:tx>
          <c:marker>
            <c:symbol val="none"/>
          </c:marker>
          <c:cat>
            <c:strRef>
              <c:f>Idősorok_ábrák_Új!$E$108:$Y$108</c:f>
              <c:strCache>
                <c:ptCount val="21"/>
                <c:pt idx="0">
                  <c:v>2016. I. </c:v>
                </c:pt>
                <c:pt idx="1">
                  <c:v>2016.II.</c:v>
                </c:pt>
                <c:pt idx="2">
                  <c:v>2016.III.</c:v>
                </c:pt>
                <c:pt idx="3">
                  <c:v>2016.IV.</c:v>
                </c:pt>
                <c:pt idx="4">
                  <c:v>2017.I.</c:v>
                </c:pt>
                <c:pt idx="5">
                  <c:v>2017.II.</c:v>
                </c:pt>
                <c:pt idx="6">
                  <c:v>2017.III.</c:v>
                </c:pt>
                <c:pt idx="7">
                  <c:v>2017.IV.</c:v>
                </c:pt>
                <c:pt idx="8">
                  <c:v>2018.I.R</c:v>
                </c:pt>
                <c:pt idx="9">
                  <c:v>2018.I.Ú</c:v>
                </c:pt>
                <c:pt idx="10">
                  <c:v>2018.II.</c:v>
                </c:pt>
                <c:pt idx="11">
                  <c:v>2018.III.</c:v>
                </c:pt>
                <c:pt idx="12">
                  <c:v>2018.IV.</c:v>
                </c:pt>
                <c:pt idx="13">
                  <c:v>2019.I.</c:v>
                </c:pt>
                <c:pt idx="14">
                  <c:v>2019.II.</c:v>
                </c:pt>
                <c:pt idx="15">
                  <c:v>2019.III.</c:v>
                </c:pt>
                <c:pt idx="16">
                  <c:v>2019.IV.</c:v>
                </c:pt>
                <c:pt idx="17">
                  <c:v>2020.I.</c:v>
                </c:pt>
                <c:pt idx="18">
                  <c:v>2020.II.</c:v>
                </c:pt>
                <c:pt idx="19">
                  <c:v>2020.III.</c:v>
                </c:pt>
                <c:pt idx="20">
                  <c:v>2020.IV.</c:v>
                </c:pt>
              </c:strCache>
            </c:strRef>
          </c:cat>
          <c:val>
            <c:numRef>
              <c:f>Idősorok_ábrák_Új!$E$101:$Y$101</c:f>
              <c:numCache>
                <c:formatCode>#\ ##0.0</c:formatCode>
                <c:ptCount val="21"/>
                <c:pt idx="0">
                  <c:v>5.8797166489999997</c:v>
                </c:pt>
                <c:pt idx="1">
                  <c:v>12.941326766500801</c:v>
                </c:pt>
                <c:pt idx="2">
                  <c:v>16.2922810165295</c:v>
                </c:pt>
                <c:pt idx="3">
                  <c:v>12.522638815720001</c:v>
                </c:pt>
                <c:pt idx="4">
                  <c:v>52.758633538227997</c:v>
                </c:pt>
                <c:pt idx="5">
                  <c:v>13.071369409447</c:v>
                </c:pt>
                <c:pt idx="6">
                  <c:v>10.3355328958851</c:v>
                </c:pt>
                <c:pt idx="7">
                  <c:v>11.1071813507484</c:v>
                </c:pt>
                <c:pt idx="8">
                  <c:v>5.7760189999999998</c:v>
                </c:pt>
                <c:pt idx="9">
                  <c:v>10.179</c:v>
                </c:pt>
                <c:pt idx="10">
                  <c:v>8.2170000000000005</c:v>
                </c:pt>
                <c:pt idx="11">
                  <c:v>13.797000000000001</c:v>
                </c:pt>
                <c:pt idx="12">
                  <c:v>15.343</c:v>
                </c:pt>
                <c:pt idx="13">
                  <c:v>10.179</c:v>
                </c:pt>
                <c:pt idx="14">
                  <c:v>15.827999999999999</c:v>
                </c:pt>
                <c:pt idx="15">
                  <c:v>10.215999999999999</c:v>
                </c:pt>
                <c:pt idx="16">
                  <c:v>9.1379999999999999</c:v>
                </c:pt>
                <c:pt idx="17">
                  <c:v>5.0819999999999999</c:v>
                </c:pt>
                <c:pt idx="18">
                  <c:v>13.131</c:v>
                </c:pt>
                <c:pt idx="19">
                  <c:v>29.402999999999999</c:v>
                </c:pt>
                <c:pt idx="20">
                  <c:v>25.774000000000001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CA73-4DDC-87DD-21D6CF9B492B}"/>
            </c:ext>
          </c:extLst>
        </c:ser>
        <c:ser>
          <c:idx val="3"/>
          <c:order val="3"/>
          <c:tx>
            <c:strRef>
              <c:f>Idősorok_ábrák_Új!$D$111</c:f>
              <c:strCache>
                <c:ptCount val="1"/>
                <c:pt idx="0">
                  <c:v>Mg. új egyéb hitelei (milliárd Ft)</c:v>
                </c:pt>
              </c:strCache>
            </c:strRef>
          </c:tx>
          <c:marker>
            <c:symbol val="none"/>
          </c:marker>
          <c:cat>
            <c:strRef>
              <c:f>Idősorok_ábrák_Új!$E$108:$Y$108</c:f>
              <c:strCache>
                <c:ptCount val="21"/>
                <c:pt idx="0">
                  <c:v>2016. I. </c:v>
                </c:pt>
                <c:pt idx="1">
                  <c:v>2016.II.</c:v>
                </c:pt>
                <c:pt idx="2">
                  <c:v>2016.III.</c:v>
                </c:pt>
                <c:pt idx="3">
                  <c:v>2016.IV.</c:v>
                </c:pt>
                <c:pt idx="4">
                  <c:v>2017.I.</c:v>
                </c:pt>
                <c:pt idx="5">
                  <c:v>2017.II.</c:v>
                </c:pt>
                <c:pt idx="6">
                  <c:v>2017.III.</c:v>
                </c:pt>
                <c:pt idx="7">
                  <c:v>2017.IV.</c:v>
                </c:pt>
                <c:pt idx="8">
                  <c:v>2018.I.R</c:v>
                </c:pt>
                <c:pt idx="9">
                  <c:v>2018.I.Ú</c:v>
                </c:pt>
                <c:pt idx="10">
                  <c:v>2018.II.</c:v>
                </c:pt>
                <c:pt idx="11">
                  <c:v>2018.III.</c:v>
                </c:pt>
                <c:pt idx="12">
                  <c:v>2018.IV.</c:v>
                </c:pt>
                <c:pt idx="13">
                  <c:v>2019.I.</c:v>
                </c:pt>
                <c:pt idx="14">
                  <c:v>2019.II.</c:v>
                </c:pt>
                <c:pt idx="15">
                  <c:v>2019.III.</c:v>
                </c:pt>
                <c:pt idx="16">
                  <c:v>2019.IV.</c:v>
                </c:pt>
                <c:pt idx="17">
                  <c:v>2020.I.</c:v>
                </c:pt>
                <c:pt idx="18">
                  <c:v>2020.II.</c:v>
                </c:pt>
                <c:pt idx="19">
                  <c:v>2020.III.</c:v>
                </c:pt>
                <c:pt idx="20">
                  <c:v>2020.IV.</c:v>
                </c:pt>
              </c:strCache>
            </c:strRef>
          </c:cat>
          <c:val>
            <c:numRef>
              <c:f>Idősorok_ábrák_Új!$E$111:$Y$111</c:f>
              <c:numCache>
                <c:formatCode>#\ ##0.0</c:formatCode>
                <c:ptCount val="21"/>
                <c:pt idx="0">
                  <c:v>3.8573276719999998</c:v>
                </c:pt>
                <c:pt idx="1">
                  <c:v>8.8583674089999995</c:v>
                </c:pt>
                <c:pt idx="2">
                  <c:v>10.005877524000001</c:v>
                </c:pt>
                <c:pt idx="3">
                  <c:v>13.651054556</c:v>
                </c:pt>
                <c:pt idx="4">
                  <c:v>5.4705209999999997</c:v>
                </c:pt>
                <c:pt idx="5">
                  <c:v>9.0768123379999999</c:v>
                </c:pt>
                <c:pt idx="6">
                  <c:v>4.8306950000000004</c:v>
                </c:pt>
                <c:pt idx="7">
                  <c:v>4.4888703100000003</c:v>
                </c:pt>
                <c:pt idx="8">
                  <c:v>8.2880000000000003</c:v>
                </c:pt>
                <c:pt idx="9">
                  <c:v>8.298</c:v>
                </c:pt>
                <c:pt idx="10">
                  <c:v>13.497</c:v>
                </c:pt>
                <c:pt idx="11">
                  <c:v>9.5579999999999998</c:v>
                </c:pt>
                <c:pt idx="12">
                  <c:v>9.4049999999999994</c:v>
                </c:pt>
                <c:pt idx="13">
                  <c:v>10.571999999999999</c:v>
                </c:pt>
                <c:pt idx="14">
                  <c:v>8.6950000000000003</c:v>
                </c:pt>
                <c:pt idx="15">
                  <c:v>5.1020000000000003</c:v>
                </c:pt>
                <c:pt idx="16">
                  <c:v>2.1549999999999998</c:v>
                </c:pt>
                <c:pt idx="17">
                  <c:v>2.8759999999999999</c:v>
                </c:pt>
                <c:pt idx="18">
                  <c:v>3.0760000000000001</c:v>
                </c:pt>
                <c:pt idx="19">
                  <c:v>2.4390000000000001</c:v>
                </c:pt>
                <c:pt idx="20">
                  <c:v>5.4189999999999996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3-CA73-4DDC-87DD-21D6CF9B492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72195960"/>
        <c:axId val="572195176"/>
      </c:lineChart>
      <c:catAx>
        <c:axId val="572195960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572195176"/>
        <c:crosses val="autoZero"/>
        <c:auto val="1"/>
        <c:lblAlgn val="ctr"/>
        <c:lblOffset val="100"/>
        <c:noMultiLvlLbl val="0"/>
      </c:catAx>
      <c:valAx>
        <c:axId val="572195176"/>
        <c:scaling>
          <c:orientation val="minMax"/>
        </c:scaling>
        <c:delete val="0"/>
        <c:axPos val="l"/>
        <c:majorGridlines/>
        <c:numFmt formatCode="#\ ##0.0" sourceLinked="1"/>
        <c:majorTickMark val="out"/>
        <c:minorTickMark val="none"/>
        <c:tickLblPos val="nextTo"/>
        <c:crossAx val="572195960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9.0305047134369223E-3"/>
          <c:y val="0.82919108806524999"/>
          <c:w val="0.97332769378901651"/>
          <c:h val="0.16842583469694536"/>
        </c:manualLayout>
      </c:layout>
      <c:overlay val="0"/>
    </c:legend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7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hu-H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/>
            </a:pPr>
            <a:r>
              <a:rPr lang="hu-HU" sz="1400"/>
              <a:t>2019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'CR3, CR5 és CR10'!$C$99</c:f>
              <c:strCache>
                <c:ptCount val="1"/>
                <c:pt idx="0">
                  <c:v>CR3 (%)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000"/>
                </a:pPr>
                <a:endParaRPr lang="hu-HU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'CR3, CR5 és CR10'!$D$98:$F$98</c:f>
              <c:strCache>
                <c:ptCount val="3"/>
                <c:pt idx="0">
                  <c:v>Agrárhitelek összesen</c:v>
                </c:pt>
                <c:pt idx="1">
                  <c:v>Mezőgazdasági hitelek összesen</c:v>
                </c:pt>
                <c:pt idx="2">
                  <c:v>Élelmiszeripari hitelek összesen</c:v>
                </c:pt>
              </c:strCache>
            </c:strRef>
          </c:cat>
          <c:val>
            <c:numRef>
              <c:f>'CR3, CR5 és CR10'!$D$99:$F$99</c:f>
              <c:numCache>
                <c:formatCode>0.00</c:formatCode>
                <c:ptCount val="3"/>
                <c:pt idx="0">
                  <c:v>40.178198086302622</c:v>
                </c:pt>
                <c:pt idx="1">
                  <c:v>51.513512802646375</c:v>
                </c:pt>
                <c:pt idx="2">
                  <c:v>33.264622491946092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0C12-4147-8810-664E86A2FD68}"/>
            </c:ext>
          </c:extLst>
        </c:ser>
        <c:ser>
          <c:idx val="1"/>
          <c:order val="1"/>
          <c:tx>
            <c:strRef>
              <c:f>'CR3, CR5 és CR10'!$C$100</c:f>
              <c:strCache>
                <c:ptCount val="1"/>
                <c:pt idx="0">
                  <c:v>CR5 (%)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000"/>
                </a:pPr>
                <a:endParaRPr lang="hu-HU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'CR3, CR5 és CR10'!$D$98:$F$98</c:f>
              <c:strCache>
                <c:ptCount val="3"/>
                <c:pt idx="0">
                  <c:v>Agrárhitelek összesen</c:v>
                </c:pt>
                <c:pt idx="1">
                  <c:v>Mezőgazdasági hitelek összesen</c:v>
                </c:pt>
                <c:pt idx="2">
                  <c:v>Élelmiszeripari hitelek összesen</c:v>
                </c:pt>
              </c:strCache>
            </c:strRef>
          </c:cat>
          <c:val>
            <c:numRef>
              <c:f>'CR3, CR5 és CR10'!$D$100:$F$100</c:f>
              <c:numCache>
                <c:formatCode>0.00</c:formatCode>
                <c:ptCount val="3"/>
                <c:pt idx="0">
                  <c:v>53.993783015519767</c:v>
                </c:pt>
                <c:pt idx="1">
                  <c:v>69.144960769524573</c:v>
                </c:pt>
                <c:pt idx="2">
                  <c:v>51.432241676091493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0C12-4147-8810-664E86A2FD68}"/>
            </c:ext>
          </c:extLst>
        </c:ser>
        <c:ser>
          <c:idx val="2"/>
          <c:order val="2"/>
          <c:tx>
            <c:strRef>
              <c:f>'CR3, CR5 és CR10'!$C$101</c:f>
              <c:strCache>
                <c:ptCount val="1"/>
                <c:pt idx="0">
                  <c:v>CR10 (%)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000"/>
                </a:pPr>
                <a:endParaRPr lang="hu-HU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'CR3, CR5 és CR10'!$D$98:$F$98</c:f>
              <c:strCache>
                <c:ptCount val="3"/>
                <c:pt idx="0">
                  <c:v>Agrárhitelek összesen</c:v>
                </c:pt>
                <c:pt idx="1">
                  <c:v>Mezőgazdasági hitelek összesen</c:v>
                </c:pt>
                <c:pt idx="2">
                  <c:v>Élelmiszeripari hitelek összesen</c:v>
                </c:pt>
              </c:strCache>
            </c:strRef>
          </c:cat>
          <c:val>
            <c:numRef>
              <c:f>'CR3, CR5 és CR10'!$D$101:$F$101</c:f>
              <c:numCache>
                <c:formatCode>0.00</c:formatCode>
                <c:ptCount val="3"/>
                <c:pt idx="0">
                  <c:v>83.441800951849146</c:v>
                </c:pt>
                <c:pt idx="1">
                  <c:v>92.21093213993997</c:v>
                </c:pt>
                <c:pt idx="2">
                  <c:v>84.718232091880679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0C12-4147-8810-664E86A2FD68}"/>
            </c:ext>
          </c:extLst>
        </c:ser>
        <c:dLbls>
          <c:dLblPos val="inBase"/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572196352"/>
        <c:axId val="572197136"/>
      </c:barChart>
      <c:catAx>
        <c:axId val="57219635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1000" b="0"/>
            </a:pPr>
            <a:endParaRPr lang="hu-HU"/>
          </a:p>
        </c:txPr>
        <c:crossAx val="572197136"/>
        <c:crosses val="autoZero"/>
        <c:auto val="1"/>
        <c:lblAlgn val="ctr"/>
        <c:lblOffset val="100"/>
        <c:noMultiLvlLbl val="0"/>
      </c:catAx>
      <c:valAx>
        <c:axId val="572197136"/>
        <c:scaling>
          <c:orientation val="minMax"/>
        </c:scaling>
        <c:delete val="0"/>
        <c:axPos val="l"/>
        <c:majorGridlines/>
        <c:numFmt formatCode="0.00" sourceLinked="1"/>
        <c:majorTickMark val="out"/>
        <c:minorTickMark val="none"/>
        <c:tickLblPos val="nextTo"/>
        <c:txPr>
          <a:bodyPr/>
          <a:lstStyle/>
          <a:p>
            <a:pPr>
              <a:defRPr sz="1000" b="0"/>
            </a:pPr>
            <a:endParaRPr lang="hu-HU"/>
          </a:p>
        </c:txPr>
        <c:crossAx val="572196352"/>
        <c:crosses val="autoZero"/>
        <c:crossBetween val="between"/>
      </c:valAx>
    </c:plotArea>
    <c:legend>
      <c:legendPos val="b"/>
      <c:overlay val="0"/>
      <c:txPr>
        <a:bodyPr/>
        <a:lstStyle/>
        <a:p>
          <a:pPr>
            <a:defRPr sz="1000" b="0"/>
          </a:pPr>
          <a:endParaRPr lang="hu-HU"/>
        </a:p>
      </c:txPr>
    </c:legend>
    <c:plotVisOnly val="1"/>
    <c:dispBlanksAs val="gap"/>
    <c:showDLblsOverMax val="0"/>
  </c:chart>
  <c:spPr>
    <a:ln>
      <a:noFill/>
    </a:ln>
  </c:spPr>
  <c:txPr>
    <a:bodyPr/>
    <a:lstStyle/>
    <a:p>
      <a:pPr algn="ctr" rtl="0">
        <a:defRPr lang="hu-HU" sz="1400" b="1" i="0" u="none" strike="noStrike" kern="1200" baseline="0">
          <a:solidFill>
            <a:sysClr val="windowText" lastClr="000000"/>
          </a:solidFill>
          <a:latin typeface="Times New Roman" panose="02020603050405020304" pitchFamily="18" charset="0"/>
          <a:ea typeface="+mn-ea"/>
          <a:cs typeface="Times New Roman" panose="02020603050405020304" pitchFamily="18" charset="0"/>
        </a:defRPr>
      </a:pPr>
      <a:endParaRPr lang="hu-HU"/>
    </a:p>
  </c:txPr>
  <c:printSettings>
    <c:headerFooter/>
    <c:pageMargins b="0.75" l="0.7" r="0.7" t="0.75" header="0.3" footer="0.3"/>
    <c:pageSetup/>
  </c:printSettings>
</c:chartSpace>
</file>

<file path=xl/charts/chart7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hu-H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/>
            </a:pPr>
            <a:r>
              <a:rPr lang="hu-HU" sz="1400"/>
              <a:t>2018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'CR3, CR5 és CR10'!$C$91</c:f>
              <c:strCache>
                <c:ptCount val="1"/>
                <c:pt idx="0">
                  <c:v>CR3 (%)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>
                  <a:defRPr b="1"/>
                </a:pPr>
                <a:endParaRPr lang="hu-HU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'CR3, CR5 és CR10'!$D$90:$F$90</c:f>
              <c:strCache>
                <c:ptCount val="3"/>
                <c:pt idx="0">
                  <c:v>Agrárhitelek összesen</c:v>
                </c:pt>
                <c:pt idx="1">
                  <c:v>Mezőgazdasági hitelek összesen</c:v>
                </c:pt>
                <c:pt idx="2">
                  <c:v>Élelmiszeripari hitelek összesen</c:v>
                </c:pt>
              </c:strCache>
            </c:strRef>
          </c:cat>
          <c:val>
            <c:numRef>
              <c:f>'CR3, CR5 és CR10'!$D$91:$F$91</c:f>
              <c:numCache>
                <c:formatCode>0.00</c:formatCode>
                <c:ptCount val="3"/>
                <c:pt idx="0">
                  <c:v>40.818060340530685</c:v>
                </c:pt>
                <c:pt idx="1">
                  <c:v>52.476673191073921</c:v>
                </c:pt>
                <c:pt idx="2">
                  <c:v>38.720785119820562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40B3-4FDD-A4A8-61F705CBD76F}"/>
            </c:ext>
          </c:extLst>
        </c:ser>
        <c:ser>
          <c:idx val="1"/>
          <c:order val="1"/>
          <c:tx>
            <c:strRef>
              <c:f>'CR3, CR5 és CR10'!$C$92</c:f>
              <c:strCache>
                <c:ptCount val="1"/>
                <c:pt idx="0">
                  <c:v>CR5 (%)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hu-HU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'CR3, CR5 és CR10'!$D$90:$F$90</c:f>
              <c:strCache>
                <c:ptCount val="3"/>
                <c:pt idx="0">
                  <c:v>Agrárhitelek összesen</c:v>
                </c:pt>
                <c:pt idx="1">
                  <c:v>Mezőgazdasági hitelek összesen</c:v>
                </c:pt>
                <c:pt idx="2">
                  <c:v>Élelmiszeripari hitelek összesen</c:v>
                </c:pt>
              </c:strCache>
            </c:strRef>
          </c:cat>
          <c:val>
            <c:numRef>
              <c:f>'CR3, CR5 és CR10'!$D$92:$F$92</c:f>
              <c:numCache>
                <c:formatCode>0.00</c:formatCode>
                <c:ptCount val="3"/>
                <c:pt idx="0">
                  <c:v>57.440716996023333</c:v>
                </c:pt>
                <c:pt idx="1">
                  <c:v>73.736486160523057</c:v>
                </c:pt>
                <c:pt idx="2">
                  <c:v>55.655857601011604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40B3-4FDD-A4A8-61F705CBD76F}"/>
            </c:ext>
          </c:extLst>
        </c:ser>
        <c:ser>
          <c:idx val="2"/>
          <c:order val="2"/>
          <c:tx>
            <c:strRef>
              <c:f>'CR3, CR5 és CR10'!$C$93</c:f>
              <c:strCache>
                <c:ptCount val="1"/>
                <c:pt idx="0">
                  <c:v>CR10 (%)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hu-HU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'CR3, CR5 és CR10'!$D$90:$F$90</c:f>
              <c:strCache>
                <c:ptCount val="3"/>
                <c:pt idx="0">
                  <c:v>Agrárhitelek összesen</c:v>
                </c:pt>
                <c:pt idx="1">
                  <c:v>Mezőgazdasági hitelek összesen</c:v>
                </c:pt>
                <c:pt idx="2">
                  <c:v>Élelmiszeripari hitelek összesen</c:v>
                </c:pt>
              </c:strCache>
            </c:strRef>
          </c:cat>
          <c:val>
            <c:numRef>
              <c:f>'CR3, CR5 és CR10'!$D$93:$F$93</c:f>
              <c:numCache>
                <c:formatCode>0.00</c:formatCode>
                <c:ptCount val="3"/>
                <c:pt idx="0">
                  <c:v>84.871575513651678</c:v>
                </c:pt>
                <c:pt idx="1">
                  <c:v>92.726219489584153</c:v>
                </c:pt>
                <c:pt idx="2">
                  <c:v>86.094978644666483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40B3-4FDD-A4A8-61F705CBD76F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572199096"/>
        <c:axId val="572204976"/>
      </c:barChart>
      <c:catAx>
        <c:axId val="57219909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572204976"/>
        <c:crosses val="autoZero"/>
        <c:auto val="1"/>
        <c:lblAlgn val="ctr"/>
        <c:lblOffset val="100"/>
        <c:noMultiLvlLbl val="0"/>
      </c:catAx>
      <c:valAx>
        <c:axId val="572204976"/>
        <c:scaling>
          <c:orientation val="minMax"/>
        </c:scaling>
        <c:delete val="0"/>
        <c:axPos val="l"/>
        <c:majorGridlines/>
        <c:numFmt formatCode="0.00" sourceLinked="1"/>
        <c:majorTickMark val="out"/>
        <c:minorTickMark val="none"/>
        <c:tickLblPos val="nextTo"/>
        <c:crossAx val="572199096"/>
        <c:crosses val="autoZero"/>
        <c:crossBetween val="between"/>
      </c:valAx>
    </c:plotArea>
    <c:legend>
      <c:legendPos val="b"/>
      <c:overlay val="0"/>
    </c:legend>
    <c:plotVisOnly val="1"/>
    <c:dispBlanksAs val="gap"/>
    <c:showDLblsOverMax val="0"/>
  </c:chart>
  <c:spPr>
    <a:ln>
      <a:noFill/>
    </a:ln>
  </c:spPr>
  <c:txPr>
    <a:bodyPr/>
    <a:lstStyle/>
    <a:p>
      <a:pPr>
        <a:defRPr>
          <a:latin typeface="Times New Roman" panose="02020603050405020304" pitchFamily="18" charset="0"/>
          <a:cs typeface="Times New Roman" panose="02020603050405020304" pitchFamily="18" charset="0"/>
        </a:defRPr>
      </a:pPr>
      <a:endParaRPr lang="hu-HU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3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5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5.xml"/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0.xml"/><Relationship Id="rId1" Type="http://schemas.openxmlformats.org/officeDocument/2006/relationships/chart" Target="../charts/chart9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1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2.xml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3.xml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4.xml"/></Relationships>
</file>

<file path=xl/drawings/_rels/drawing1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6.xml"/><Relationship Id="rId1" Type="http://schemas.openxmlformats.org/officeDocument/2006/relationships/chart" Target="../charts/chart15.xml"/></Relationships>
</file>

<file path=xl/drawings/_rels/drawing1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9.xml"/><Relationship Id="rId2" Type="http://schemas.openxmlformats.org/officeDocument/2006/relationships/chart" Target="../charts/chart18.xml"/><Relationship Id="rId1" Type="http://schemas.openxmlformats.org/officeDocument/2006/relationships/chart" Target="../charts/chart17.xml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0.xml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1.xml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2.xml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3.xml"/></Relationships>
</file>

<file path=xl/drawings/_rels/drawing18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5.xml"/><Relationship Id="rId1" Type="http://schemas.openxmlformats.org/officeDocument/2006/relationships/chart" Target="../charts/chart24.xml"/></Relationships>
</file>

<file path=xl/drawings/_rels/drawing19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7.xml"/><Relationship Id="rId1" Type="http://schemas.openxmlformats.org/officeDocument/2006/relationships/chart" Target="../charts/chart26.xml"/></Relationships>
</file>

<file path=xl/drawings/_rels/drawing2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8.xml"/></Relationships>
</file>

<file path=xl/drawings/_rels/drawing2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9.xml"/></Relationships>
</file>

<file path=xl/drawings/_rels/drawing22.xml.rels><?xml version="1.0" encoding="UTF-8" standalone="yes"?>
<Relationships xmlns="http://schemas.openxmlformats.org/package/2006/relationships"><Relationship Id="rId8" Type="http://schemas.openxmlformats.org/officeDocument/2006/relationships/chart" Target="../charts/chart37.xml"/><Relationship Id="rId13" Type="http://schemas.openxmlformats.org/officeDocument/2006/relationships/chart" Target="../charts/chart42.xml"/><Relationship Id="rId18" Type="http://schemas.openxmlformats.org/officeDocument/2006/relationships/chart" Target="../charts/chart47.xml"/><Relationship Id="rId26" Type="http://schemas.openxmlformats.org/officeDocument/2006/relationships/chart" Target="../charts/chart55.xml"/><Relationship Id="rId3" Type="http://schemas.openxmlformats.org/officeDocument/2006/relationships/chart" Target="../charts/chart32.xml"/><Relationship Id="rId21" Type="http://schemas.openxmlformats.org/officeDocument/2006/relationships/chart" Target="../charts/chart50.xml"/><Relationship Id="rId7" Type="http://schemas.openxmlformats.org/officeDocument/2006/relationships/chart" Target="../charts/chart36.xml"/><Relationship Id="rId12" Type="http://schemas.openxmlformats.org/officeDocument/2006/relationships/chart" Target="../charts/chart41.xml"/><Relationship Id="rId17" Type="http://schemas.openxmlformats.org/officeDocument/2006/relationships/chart" Target="../charts/chart46.xml"/><Relationship Id="rId25" Type="http://schemas.openxmlformats.org/officeDocument/2006/relationships/chart" Target="../charts/chart54.xml"/><Relationship Id="rId2" Type="http://schemas.openxmlformats.org/officeDocument/2006/relationships/chart" Target="../charts/chart31.xml"/><Relationship Id="rId16" Type="http://schemas.openxmlformats.org/officeDocument/2006/relationships/chart" Target="../charts/chart45.xml"/><Relationship Id="rId20" Type="http://schemas.openxmlformats.org/officeDocument/2006/relationships/chart" Target="../charts/chart49.xml"/><Relationship Id="rId29" Type="http://schemas.openxmlformats.org/officeDocument/2006/relationships/chart" Target="../charts/chart58.xml"/><Relationship Id="rId1" Type="http://schemas.openxmlformats.org/officeDocument/2006/relationships/chart" Target="../charts/chart30.xml"/><Relationship Id="rId6" Type="http://schemas.openxmlformats.org/officeDocument/2006/relationships/chart" Target="../charts/chart35.xml"/><Relationship Id="rId11" Type="http://schemas.openxmlformats.org/officeDocument/2006/relationships/chart" Target="../charts/chart40.xml"/><Relationship Id="rId24" Type="http://schemas.openxmlformats.org/officeDocument/2006/relationships/chart" Target="../charts/chart53.xml"/><Relationship Id="rId5" Type="http://schemas.openxmlformats.org/officeDocument/2006/relationships/chart" Target="../charts/chart34.xml"/><Relationship Id="rId15" Type="http://schemas.openxmlformats.org/officeDocument/2006/relationships/chart" Target="../charts/chart44.xml"/><Relationship Id="rId23" Type="http://schemas.openxmlformats.org/officeDocument/2006/relationships/chart" Target="../charts/chart52.xml"/><Relationship Id="rId28" Type="http://schemas.openxmlformats.org/officeDocument/2006/relationships/chart" Target="../charts/chart57.xml"/><Relationship Id="rId10" Type="http://schemas.openxmlformats.org/officeDocument/2006/relationships/chart" Target="../charts/chart39.xml"/><Relationship Id="rId19" Type="http://schemas.openxmlformats.org/officeDocument/2006/relationships/chart" Target="../charts/chart48.xml"/><Relationship Id="rId31" Type="http://schemas.openxmlformats.org/officeDocument/2006/relationships/chart" Target="../charts/chart60.xml"/><Relationship Id="rId4" Type="http://schemas.openxmlformats.org/officeDocument/2006/relationships/chart" Target="../charts/chart33.xml"/><Relationship Id="rId9" Type="http://schemas.openxmlformats.org/officeDocument/2006/relationships/chart" Target="../charts/chart38.xml"/><Relationship Id="rId14" Type="http://schemas.openxmlformats.org/officeDocument/2006/relationships/chart" Target="../charts/chart43.xml"/><Relationship Id="rId22" Type="http://schemas.openxmlformats.org/officeDocument/2006/relationships/chart" Target="../charts/chart51.xml"/><Relationship Id="rId27" Type="http://schemas.openxmlformats.org/officeDocument/2006/relationships/chart" Target="../charts/chart56.xml"/><Relationship Id="rId30" Type="http://schemas.openxmlformats.org/officeDocument/2006/relationships/chart" Target="../charts/chart59.xml"/></Relationships>
</file>

<file path=xl/drawings/_rels/drawing23.xml.rels><?xml version="1.0" encoding="UTF-8" standalone="yes"?>
<Relationships xmlns="http://schemas.openxmlformats.org/package/2006/relationships"><Relationship Id="rId8" Type="http://schemas.openxmlformats.org/officeDocument/2006/relationships/chart" Target="../charts/chart68.xml"/><Relationship Id="rId3" Type="http://schemas.openxmlformats.org/officeDocument/2006/relationships/chart" Target="../charts/chart63.xml"/><Relationship Id="rId7" Type="http://schemas.openxmlformats.org/officeDocument/2006/relationships/chart" Target="../charts/chart67.xml"/><Relationship Id="rId2" Type="http://schemas.openxmlformats.org/officeDocument/2006/relationships/chart" Target="../charts/chart62.xml"/><Relationship Id="rId1" Type="http://schemas.openxmlformats.org/officeDocument/2006/relationships/chart" Target="../charts/chart61.xml"/><Relationship Id="rId6" Type="http://schemas.openxmlformats.org/officeDocument/2006/relationships/chart" Target="../charts/chart66.xml"/><Relationship Id="rId5" Type="http://schemas.openxmlformats.org/officeDocument/2006/relationships/chart" Target="../charts/chart65.xml"/><Relationship Id="rId10" Type="http://schemas.openxmlformats.org/officeDocument/2006/relationships/chart" Target="../charts/chart70.xml"/><Relationship Id="rId4" Type="http://schemas.openxmlformats.org/officeDocument/2006/relationships/chart" Target="../charts/chart64.xml"/><Relationship Id="rId9" Type="http://schemas.openxmlformats.org/officeDocument/2006/relationships/chart" Target="../charts/chart69.xml"/></Relationships>
</file>

<file path=xl/drawings/_rels/drawing24.xml.rels><?xml version="1.0" encoding="UTF-8" standalone="yes"?>
<Relationships xmlns="http://schemas.openxmlformats.org/package/2006/relationships"><Relationship Id="rId2" Type="http://schemas.openxmlformats.org/officeDocument/2006/relationships/chart" Target="../charts/chart72.xml"/><Relationship Id="rId1" Type="http://schemas.openxmlformats.org/officeDocument/2006/relationships/chart" Target="../charts/chart7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2219325</xdr:colOff>
      <xdr:row>43</xdr:row>
      <xdr:rowOff>33336</xdr:rowOff>
    </xdr:from>
    <xdr:to>
      <xdr:col>11</xdr:col>
      <xdr:colOff>371475</xdr:colOff>
      <xdr:row>64</xdr:row>
      <xdr:rowOff>38099</xdr:rowOff>
    </xdr:to>
    <xdr:graphicFrame macro="">
      <xdr:nvGraphicFramePr>
        <xdr:cNvPr id="2" name="Diagram 1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333374</xdr:colOff>
      <xdr:row>7</xdr:row>
      <xdr:rowOff>119061</xdr:rowOff>
    </xdr:from>
    <xdr:to>
      <xdr:col>13</xdr:col>
      <xdr:colOff>457199</xdr:colOff>
      <xdr:row>25</xdr:row>
      <xdr:rowOff>142874</xdr:rowOff>
    </xdr:to>
    <xdr:graphicFrame macro="">
      <xdr:nvGraphicFramePr>
        <xdr:cNvPr id="2" name="Diagram 1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16</xdr:row>
      <xdr:rowOff>176211</xdr:rowOff>
    </xdr:from>
    <xdr:to>
      <xdr:col>8</xdr:col>
      <xdr:colOff>38100</xdr:colOff>
      <xdr:row>31</xdr:row>
      <xdr:rowOff>161924</xdr:rowOff>
    </xdr:to>
    <xdr:graphicFrame macro="">
      <xdr:nvGraphicFramePr>
        <xdr:cNvPr id="4" name="Diagram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171450</xdr:colOff>
      <xdr:row>8</xdr:row>
      <xdr:rowOff>71437</xdr:rowOff>
    </xdr:from>
    <xdr:to>
      <xdr:col>21</xdr:col>
      <xdr:colOff>476250</xdr:colOff>
      <xdr:row>22</xdr:row>
      <xdr:rowOff>147637</xdr:rowOff>
    </xdr:to>
    <xdr:graphicFrame macro="">
      <xdr:nvGraphicFramePr>
        <xdr:cNvPr id="5" name="Diagram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14</xdr:col>
      <xdr:colOff>190500</xdr:colOff>
      <xdr:row>24</xdr:row>
      <xdr:rowOff>119062</xdr:rowOff>
    </xdr:from>
    <xdr:to>
      <xdr:col>21</xdr:col>
      <xdr:colOff>495300</xdr:colOff>
      <xdr:row>39</xdr:row>
      <xdr:rowOff>4762</xdr:rowOff>
    </xdr:to>
    <xdr:graphicFrame macro="">
      <xdr:nvGraphicFramePr>
        <xdr:cNvPr id="6" name="Diagram 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619123</xdr:colOff>
      <xdr:row>40</xdr:row>
      <xdr:rowOff>52386</xdr:rowOff>
    </xdr:from>
    <xdr:to>
      <xdr:col>10</xdr:col>
      <xdr:colOff>323850</xdr:colOff>
      <xdr:row>59</xdr:row>
      <xdr:rowOff>47625</xdr:rowOff>
    </xdr:to>
    <xdr:graphicFrame macro="">
      <xdr:nvGraphicFramePr>
        <xdr:cNvPr id="2" name="Diagram 1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1762125</xdr:colOff>
      <xdr:row>14</xdr:row>
      <xdr:rowOff>138111</xdr:rowOff>
    </xdr:from>
    <xdr:to>
      <xdr:col>9</xdr:col>
      <xdr:colOff>666750</xdr:colOff>
      <xdr:row>31</xdr:row>
      <xdr:rowOff>85724</xdr:rowOff>
    </xdr:to>
    <xdr:graphicFrame macro="">
      <xdr:nvGraphicFramePr>
        <xdr:cNvPr id="2" name="Diagram 1">
          <a:extLst>
            <a:ext uri="{FF2B5EF4-FFF2-40B4-BE49-F238E27FC236}">
              <a16:creationId xmlns="" xmlns:a16="http://schemas.microsoft.com/office/drawing/2014/main" id="{00000000-0008-0000-07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1190625</xdr:colOff>
      <xdr:row>25</xdr:row>
      <xdr:rowOff>152401</xdr:rowOff>
    </xdr:from>
    <xdr:to>
      <xdr:col>9</xdr:col>
      <xdr:colOff>2466975</xdr:colOff>
      <xdr:row>54</xdr:row>
      <xdr:rowOff>114300</xdr:rowOff>
    </xdr:to>
    <xdr:graphicFrame macro="">
      <xdr:nvGraphicFramePr>
        <xdr:cNvPr id="2" name="Diagram 1">
          <a:extLst>
            <a:ext uri="{FF2B5EF4-FFF2-40B4-BE49-F238E27FC236}">
              <a16:creationId xmlns="" xmlns:a16="http://schemas.microsoft.com/office/drawing/2014/main" id="{00000000-0008-0000-08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19</xdr:col>
      <xdr:colOff>428625</xdr:colOff>
      <xdr:row>3</xdr:row>
      <xdr:rowOff>152400</xdr:rowOff>
    </xdr:from>
    <xdr:to>
      <xdr:col>38</xdr:col>
      <xdr:colOff>409575</xdr:colOff>
      <xdr:row>31</xdr:row>
      <xdr:rowOff>28575</xdr:rowOff>
    </xdr:to>
    <xdr:graphicFrame macro="">
      <xdr:nvGraphicFramePr>
        <xdr:cNvPr id="2" name="Diagram 1">
          <a:extLst>
            <a:ext uri="{FF2B5EF4-FFF2-40B4-BE49-F238E27FC236}">
              <a16:creationId xmlns="" xmlns:a16="http://schemas.microsoft.com/office/drawing/2014/main" id="{00000000-0008-0000-09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85731</xdr:colOff>
      <xdr:row>16</xdr:row>
      <xdr:rowOff>109537</xdr:rowOff>
    </xdr:from>
    <xdr:to>
      <xdr:col>16</xdr:col>
      <xdr:colOff>571506</xdr:colOff>
      <xdr:row>30</xdr:row>
      <xdr:rowOff>185737</xdr:rowOff>
    </xdr:to>
    <xdr:graphicFrame macro="">
      <xdr:nvGraphicFramePr>
        <xdr:cNvPr id="3" name="Diagram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609599</xdr:colOff>
      <xdr:row>9</xdr:row>
      <xdr:rowOff>190499</xdr:rowOff>
    </xdr:from>
    <xdr:to>
      <xdr:col>17</xdr:col>
      <xdr:colOff>371474</xdr:colOff>
      <xdr:row>27</xdr:row>
      <xdr:rowOff>104774</xdr:rowOff>
    </xdr:to>
    <xdr:graphicFrame macro="">
      <xdr:nvGraphicFramePr>
        <xdr:cNvPr id="3" name="Diagram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0</xdr:colOff>
      <xdr:row>18</xdr:row>
      <xdr:rowOff>0</xdr:rowOff>
    </xdr:from>
    <xdr:to>
      <xdr:col>21</xdr:col>
      <xdr:colOff>19050</xdr:colOff>
      <xdr:row>37</xdr:row>
      <xdr:rowOff>76200</xdr:rowOff>
    </xdr:to>
    <xdr:graphicFrame macro="">
      <xdr:nvGraphicFramePr>
        <xdr:cNvPr id="3" name="Diagram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38100</xdr:colOff>
      <xdr:row>11</xdr:row>
      <xdr:rowOff>71436</xdr:rowOff>
    </xdr:from>
    <xdr:to>
      <xdr:col>8</xdr:col>
      <xdr:colOff>1457325</xdr:colOff>
      <xdr:row>24</xdr:row>
      <xdr:rowOff>171449</xdr:rowOff>
    </xdr:to>
    <xdr:graphicFrame macro="">
      <xdr:nvGraphicFramePr>
        <xdr:cNvPr id="2" name="Diagram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400050</xdr:colOff>
      <xdr:row>12</xdr:row>
      <xdr:rowOff>76200</xdr:rowOff>
    </xdr:from>
    <xdr:to>
      <xdr:col>12</xdr:col>
      <xdr:colOff>228600</xdr:colOff>
      <xdr:row>26</xdr:row>
      <xdr:rowOff>152400</xdr:rowOff>
    </xdr:to>
    <xdr:graphicFrame macro="">
      <xdr:nvGraphicFramePr>
        <xdr:cNvPr id="4" name="Diagram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495299</xdr:colOff>
      <xdr:row>7</xdr:row>
      <xdr:rowOff>185737</xdr:rowOff>
    </xdr:from>
    <xdr:to>
      <xdr:col>23</xdr:col>
      <xdr:colOff>314325</xdr:colOff>
      <xdr:row>24</xdr:row>
      <xdr:rowOff>142875</xdr:rowOff>
    </xdr:to>
    <xdr:graphicFrame macro="">
      <xdr:nvGraphicFramePr>
        <xdr:cNvPr id="2" name="Diagram 1">
          <a:extLst>
            <a:ext uri="{FF2B5EF4-FFF2-40B4-BE49-F238E27FC236}">
              <a16:creationId xmlns="" xmlns:a16="http://schemas.microsoft.com/office/drawing/2014/main" id="{00000000-0008-0000-0A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209550</xdr:colOff>
      <xdr:row>10</xdr:row>
      <xdr:rowOff>161924</xdr:rowOff>
    </xdr:from>
    <xdr:to>
      <xdr:col>8</xdr:col>
      <xdr:colOff>190500</xdr:colOff>
      <xdr:row>29</xdr:row>
      <xdr:rowOff>171449</xdr:rowOff>
    </xdr:to>
    <xdr:graphicFrame macro="">
      <xdr:nvGraphicFramePr>
        <xdr:cNvPr id="3" name="Diagram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2076449</xdr:colOff>
      <xdr:row>13</xdr:row>
      <xdr:rowOff>119062</xdr:rowOff>
    </xdr:from>
    <xdr:to>
      <xdr:col>27</xdr:col>
      <xdr:colOff>238125</xdr:colOff>
      <xdr:row>30</xdr:row>
      <xdr:rowOff>28575</xdr:rowOff>
    </xdr:to>
    <xdr:graphicFrame macro="">
      <xdr:nvGraphicFramePr>
        <xdr:cNvPr id="2" name="Diagram 1">
          <a:extLst>
            <a:ext uri="{FF2B5EF4-FFF2-40B4-BE49-F238E27FC236}">
              <a16:creationId xmlns="" xmlns:a16="http://schemas.microsoft.com/office/drawing/2014/main" id="{00000000-0008-0000-0B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3638550</xdr:colOff>
      <xdr:row>45</xdr:row>
      <xdr:rowOff>23812</xdr:rowOff>
    </xdr:from>
    <xdr:to>
      <xdr:col>7</xdr:col>
      <xdr:colOff>561975</xdr:colOff>
      <xdr:row>59</xdr:row>
      <xdr:rowOff>100012</xdr:rowOff>
    </xdr:to>
    <xdr:graphicFrame macro="">
      <xdr:nvGraphicFramePr>
        <xdr:cNvPr id="3" name="Diagram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18</xdr:col>
      <xdr:colOff>390524</xdr:colOff>
      <xdr:row>34</xdr:row>
      <xdr:rowOff>38100</xdr:rowOff>
    </xdr:from>
    <xdr:to>
      <xdr:col>31</xdr:col>
      <xdr:colOff>19050</xdr:colOff>
      <xdr:row>53</xdr:row>
      <xdr:rowOff>57150</xdr:rowOff>
    </xdr:to>
    <xdr:graphicFrame macro="">
      <xdr:nvGraphicFramePr>
        <xdr:cNvPr id="4" name="Diagram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66675</xdr:colOff>
      <xdr:row>11</xdr:row>
      <xdr:rowOff>166687</xdr:rowOff>
    </xdr:from>
    <xdr:to>
      <xdr:col>26</xdr:col>
      <xdr:colOff>219075</xdr:colOff>
      <xdr:row>33</xdr:row>
      <xdr:rowOff>85725</xdr:rowOff>
    </xdr:to>
    <xdr:graphicFrame macro="">
      <xdr:nvGraphicFramePr>
        <xdr:cNvPr id="2" name="Diagram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2943224</xdr:colOff>
      <xdr:row>19</xdr:row>
      <xdr:rowOff>61911</xdr:rowOff>
    </xdr:from>
    <xdr:to>
      <xdr:col>20</xdr:col>
      <xdr:colOff>295275</xdr:colOff>
      <xdr:row>43</xdr:row>
      <xdr:rowOff>38100</xdr:rowOff>
    </xdr:to>
    <xdr:graphicFrame macro="">
      <xdr:nvGraphicFramePr>
        <xdr:cNvPr id="3" name="Diagram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47624</xdr:colOff>
      <xdr:row>12</xdr:row>
      <xdr:rowOff>33336</xdr:rowOff>
    </xdr:from>
    <xdr:to>
      <xdr:col>21</xdr:col>
      <xdr:colOff>590549</xdr:colOff>
      <xdr:row>31</xdr:row>
      <xdr:rowOff>152399</xdr:rowOff>
    </xdr:to>
    <xdr:graphicFrame macro="">
      <xdr:nvGraphicFramePr>
        <xdr:cNvPr id="2" name="Diagram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3057524</xdr:colOff>
      <xdr:row>19</xdr:row>
      <xdr:rowOff>185736</xdr:rowOff>
    </xdr:from>
    <xdr:to>
      <xdr:col>18</xdr:col>
      <xdr:colOff>496956</xdr:colOff>
      <xdr:row>43</xdr:row>
      <xdr:rowOff>66261</xdr:rowOff>
    </xdr:to>
    <xdr:graphicFrame macro="">
      <xdr:nvGraphicFramePr>
        <xdr:cNvPr id="4" name="Diagram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342900</xdr:colOff>
      <xdr:row>12</xdr:row>
      <xdr:rowOff>38100</xdr:rowOff>
    </xdr:from>
    <xdr:to>
      <xdr:col>19</xdr:col>
      <xdr:colOff>580465</xdr:colOff>
      <xdr:row>27</xdr:row>
      <xdr:rowOff>32740</xdr:rowOff>
    </xdr:to>
    <xdr:graphicFrame macro="">
      <xdr:nvGraphicFramePr>
        <xdr:cNvPr id="3" name="Diagram 2">
          <a:extLst>
            <a:ext uri="{FF2B5EF4-FFF2-40B4-BE49-F238E27FC236}">
              <a16:creationId xmlns="" xmlns:a16="http://schemas.microsoft.com/office/drawing/2014/main" id="{00000000-0008-0000-0C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0</xdr:colOff>
      <xdr:row>39</xdr:row>
      <xdr:rowOff>0</xdr:rowOff>
    </xdr:from>
    <xdr:to>
      <xdr:col>18</xdr:col>
      <xdr:colOff>143435</xdr:colOff>
      <xdr:row>54</xdr:row>
      <xdr:rowOff>8964</xdr:rowOff>
    </xdr:to>
    <xdr:graphicFrame macro="">
      <xdr:nvGraphicFramePr>
        <xdr:cNvPr id="5" name="Diagram 4">
          <a:extLst>
            <a:ext uri="{FF2B5EF4-FFF2-40B4-BE49-F238E27FC236}">
              <a16:creationId xmlns="" xmlns:a16="http://schemas.microsoft.com/office/drawing/2014/main" id="{00000000-0008-0000-0C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342900</xdr:colOff>
      <xdr:row>12</xdr:row>
      <xdr:rowOff>38100</xdr:rowOff>
    </xdr:from>
    <xdr:to>
      <xdr:col>18</xdr:col>
      <xdr:colOff>580465</xdr:colOff>
      <xdr:row>27</xdr:row>
      <xdr:rowOff>32740</xdr:rowOff>
    </xdr:to>
    <xdr:graphicFrame macro="">
      <xdr:nvGraphicFramePr>
        <xdr:cNvPr id="2" name="Diagram 1">
          <a:extLst>
            <a:ext uri="{FF2B5EF4-FFF2-40B4-BE49-F238E27FC236}">
              <a16:creationId xmlns="" xmlns:a16="http://schemas.microsoft.com/office/drawing/2014/main" id="{00000000-0008-0000-0D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0</xdr:colOff>
      <xdr:row>39</xdr:row>
      <xdr:rowOff>0</xdr:rowOff>
    </xdr:from>
    <xdr:to>
      <xdr:col>17</xdr:col>
      <xdr:colOff>143435</xdr:colOff>
      <xdr:row>54</xdr:row>
      <xdr:rowOff>8964</xdr:rowOff>
    </xdr:to>
    <xdr:graphicFrame macro="">
      <xdr:nvGraphicFramePr>
        <xdr:cNvPr id="3" name="Diagram 2">
          <a:extLst>
            <a:ext uri="{FF2B5EF4-FFF2-40B4-BE49-F238E27FC236}">
              <a16:creationId xmlns="" xmlns:a16="http://schemas.microsoft.com/office/drawing/2014/main" id="{00000000-0008-0000-0D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>
    <xdr:from>
      <xdr:col>16</xdr:col>
      <xdr:colOff>209550</xdr:colOff>
      <xdr:row>13</xdr:row>
      <xdr:rowOff>4762</xdr:rowOff>
    </xdr:from>
    <xdr:to>
      <xdr:col>23</xdr:col>
      <xdr:colOff>514350</xdr:colOff>
      <xdr:row>27</xdr:row>
      <xdr:rowOff>42862</xdr:rowOff>
    </xdr:to>
    <xdr:graphicFrame macro="">
      <xdr:nvGraphicFramePr>
        <xdr:cNvPr id="2" name="Diagram 1">
          <a:extLst>
            <a:ext uri="{FF2B5EF4-FFF2-40B4-BE49-F238E27FC236}">
              <a16:creationId xmlns="" xmlns:a16="http://schemas.microsoft.com/office/drawing/2014/main" id="{00000000-0008-0000-0F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>
    <xdr:from>
      <xdr:col>16</xdr:col>
      <xdr:colOff>9525</xdr:colOff>
      <xdr:row>17</xdr:row>
      <xdr:rowOff>80962</xdr:rowOff>
    </xdr:from>
    <xdr:to>
      <xdr:col>23</xdr:col>
      <xdr:colOff>314325</xdr:colOff>
      <xdr:row>31</xdr:row>
      <xdr:rowOff>138112</xdr:rowOff>
    </xdr:to>
    <xdr:graphicFrame macro="">
      <xdr:nvGraphicFramePr>
        <xdr:cNvPr id="2" name="Diagram 1">
          <a:extLst>
            <a:ext uri="{FF2B5EF4-FFF2-40B4-BE49-F238E27FC236}">
              <a16:creationId xmlns="" xmlns:a16="http://schemas.microsoft.com/office/drawing/2014/main" id="{00000000-0008-0000-10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>
    <xdr:from>
      <xdr:col>74</xdr:col>
      <xdr:colOff>429185</xdr:colOff>
      <xdr:row>5</xdr:row>
      <xdr:rowOff>216552</xdr:rowOff>
    </xdr:from>
    <xdr:to>
      <xdr:col>96</xdr:col>
      <xdr:colOff>42583</xdr:colOff>
      <xdr:row>20</xdr:row>
      <xdr:rowOff>97770</xdr:rowOff>
    </xdr:to>
    <xdr:graphicFrame macro="">
      <xdr:nvGraphicFramePr>
        <xdr:cNvPr id="2" name="Diagram 1">
          <a:extLst>
            <a:ext uri="{FF2B5EF4-FFF2-40B4-BE49-F238E27FC236}">
              <a16:creationId xmlns="" xmlns:a16="http://schemas.microsoft.com/office/drawing/2014/main" id="{00000000-0008-0000-11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60</xdr:col>
      <xdr:colOff>67236</xdr:colOff>
      <xdr:row>28</xdr:row>
      <xdr:rowOff>190500</xdr:rowOff>
    </xdr:from>
    <xdr:to>
      <xdr:col>74</xdr:col>
      <xdr:colOff>57151</xdr:colOff>
      <xdr:row>43</xdr:row>
      <xdr:rowOff>42583</xdr:rowOff>
    </xdr:to>
    <xdr:graphicFrame macro="">
      <xdr:nvGraphicFramePr>
        <xdr:cNvPr id="4" name="Diagram 3">
          <a:extLst>
            <a:ext uri="{FF2B5EF4-FFF2-40B4-BE49-F238E27FC236}">
              <a16:creationId xmlns="" xmlns:a16="http://schemas.microsoft.com/office/drawing/2014/main" id="{00000000-0008-0000-11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9</xdr:col>
      <xdr:colOff>33618</xdr:colOff>
      <xdr:row>39</xdr:row>
      <xdr:rowOff>33618</xdr:rowOff>
    </xdr:from>
    <xdr:to>
      <xdr:col>23</xdr:col>
      <xdr:colOff>268941</xdr:colOff>
      <xdr:row>58</xdr:row>
      <xdr:rowOff>145676</xdr:rowOff>
    </xdr:to>
    <xdr:graphicFrame macro="">
      <xdr:nvGraphicFramePr>
        <xdr:cNvPr id="5" name="Diagram 4">
          <a:extLst>
            <a:ext uri="{FF2B5EF4-FFF2-40B4-BE49-F238E27FC236}">
              <a16:creationId xmlns="" xmlns:a16="http://schemas.microsoft.com/office/drawing/2014/main" id="{00000000-0008-0000-11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7</xdr:col>
      <xdr:colOff>336177</xdr:colOff>
      <xdr:row>104</xdr:row>
      <xdr:rowOff>45944</xdr:rowOff>
    </xdr:from>
    <xdr:to>
      <xdr:col>23</xdr:col>
      <xdr:colOff>89647</xdr:colOff>
      <xdr:row>120</xdr:row>
      <xdr:rowOff>44824</xdr:rowOff>
    </xdr:to>
    <xdr:graphicFrame macro="">
      <xdr:nvGraphicFramePr>
        <xdr:cNvPr id="6" name="Diagram 5">
          <a:extLst>
            <a:ext uri="{FF2B5EF4-FFF2-40B4-BE49-F238E27FC236}">
              <a16:creationId xmlns="" xmlns:a16="http://schemas.microsoft.com/office/drawing/2014/main" id="{00000000-0008-0000-1100-00000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36</xdr:col>
      <xdr:colOff>3316944</xdr:colOff>
      <xdr:row>554</xdr:row>
      <xdr:rowOff>123264</xdr:rowOff>
    </xdr:from>
    <xdr:to>
      <xdr:col>47</xdr:col>
      <xdr:colOff>336179</xdr:colOff>
      <xdr:row>573</xdr:row>
      <xdr:rowOff>123263</xdr:rowOff>
    </xdr:to>
    <xdr:graphicFrame macro="">
      <xdr:nvGraphicFramePr>
        <xdr:cNvPr id="7" name="Diagram 6">
          <a:extLst>
            <a:ext uri="{FF2B5EF4-FFF2-40B4-BE49-F238E27FC236}">
              <a16:creationId xmlns="" xmlns:a16="http://schemas.microsoft.com/office/drawing/2014/main" id="{00000000-0008-0000-11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60</xdr:col>
      <xdr:colOff>1546892</xdr:colOff>
      <xdr:row>55</xdr:row>
      <xdr:rowOff>225235</xdr:rowOff>
    </xdr:from>
    <xdr:to>
      <xdr:col>76</xdr:col>
      <xdr:colOff>476250</xdr:colOff>
      <xdr:row>78</xdr:row>
      <xdr:rowOff>149679</xdr:rowOff>
    </xdr:to>
    <xdr:graphicFrame macro="">
      <xdr:nvGraphicFramePr>
        <xdr:cNvPr id="8" name="Diagram 7">
          <a:extLst>
            <a:ext uri="{FF2B5EF4-FFF2-40B4-BE49-F238E27FC236}">
              <a16:creationId xmlns="" xmlns:a16="http://schemas.microsoft.com/office/drawing/2014/main" id="{00000000-0008-0000-1100-00000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105</xdr:col>
      <xdr:colOff>801620</xdr:colOff>
      <xdr:row>46</xdr:row>
      <xdr:rowOff>573099</xdr:rowOff>
    </xdr:from>
    <xdr:to>
      <xdr:col>123</xdr:col>
      <xdr:colOff>108459</xdr:colOff>
      <xdr:row>70</xdr:row>
      <xdr:rowOff>163285</xdr:rowOff>
    </xdr:to>
    <xdr:graphicFrame macro="">
      <xdr:nvGraphicFramePr>
        <xdr:cNvPr id="9" name="Diagram 8">
          <a:extLst>
            <a:ext uri="{FF2B5EF4-FFF2-40B4-BE49-F238E27FC236}">
              <a16:creationId xmlns="" xmlns:a16="http://schemas.microsoft.com/office/drawing/2014/main" id="{00000000-0008-0000-1100-00000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61</xdr:col>
      <xdr:colOff>194501</xdr:colOff>
      <xdr:row>483</xdr:row>
      <xdr:rowOff>192418</xdr:rowOff>
    </xdr:from>
    <xdr:to>
      <xdr:col>83</xdr:col>
      <xdr:colOff>388205</xdr:colOff>
      <xdr:row>498</xdr:row>
      <xdr:rowOff>10883</xdr:rowOff>
    </xdr:to>
    <xdr:graphicFrame macro="">
      <xdr:nvGraphicFramePr>
        <xdr:cNvPr id="11" name="Diagram 10">
          <a:extLst>
            <a:ext uri="{FF2B5EF4-FFF2-40B4-BE49-F238E27FC236}">
              <a16:creationId xmlns="" xmlns:a16="http://schemas.microsoft.com/office/drawing/2014/main" id="{00000000-0008-0000-1100-00000B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60</xdr:col>
      <xdr:colOff>1333499</xdr:colOff>
      <xdr:row>469</xdr:row>
      <xdr:rowOff>12325</xdr:rowOff>
    </xdr:from>
    <xdr:to>
      <xdr:col>83</xdr:col>
      <xdr:colOff>448235</xdr:colOff>
      <xdr:row>482</xdr:row>
      <xdr:rowOff>178172</xdr:rowOff>
    </xdr:to>
    <xdr:graphicFrame macro="">
      <xdr:nvGraphicFramePr>
        <xdr:cNvPr id="12" name="Diagram 11">
          <a:extLst>
            <a:ext uri="{FF2B5EF4-FFF2-40B4-BE49-F238E27FC236}">
              <a16:creationId xmlns="" xmlns:a16="http://schemas.microsoft.com/office/drawing/2014/main" id="{00000000-0008-0000-1100-00000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61</xdr:col>
      <xdr:colOff>217714</xdr:colOff>
      <xdr:row>500</xdr:row>
      <xdr:rowOff>112379</xdr:rowOff>
    </xdr:from>
    <xdr:to>
      <xdr:col>83</xdr:col>
      <xdr:colOff>185701</xdr:colOff>
      <xdr:row>514</xdr:row>
      <xdr:rowOff>76520</xdr:rowOff>
    </xdr:to>
    <xdr:graphicFrame macro="">
      <xdr:nvGraphicFramePr>
        <xdr:cNvPr id="13" name="Diagram 12">
          <a:extLst>
            <a:ext uri="{FF2B5EF4-FFF2-40B4-BE49-F238E27FC236}">
              <a16:creationId xmlns="" xmlns:a16="http://schemas.microsoft.com/office/drawing/2014/main" id="{00000000-0008-0000-1100-00000D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61</xdr:col>
      <xdr:colOff>530679</xdr:colOff>
      <xdr:row>515</xdr:row>
      <xdr:rowOff>175902</xdr:rowOff>
    </xdr:from>
    <xdr:to>
      <xdr:col>76</xdr:col>
      <xdr:colOff>592020</xdr:colOff>
      <xdr:row>535</xdr:row>
      <xdr:rowOff>64295</xdr:rowOff>
    </xdr:to>
    <xdr:graphicFrame macro="">
      <xdr:nvGraphicFramePr>
        <xdr:cNvPr id="14" name="Diagram 13">
          <a:extLst>
            <a:ext uri="{FF2B5EF4-FFF2-40B4-BE49-F238E27FC236}">
              <a16:creationId xmlns="" xmlns:a16="http://schemas.microsoft.com/office/drawing/2014/main" id="{00000000-0008-0000-1100-00000E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60</xdr:col>
      <xdr:colOff>1781734</xdr:colOff>
      <xdr:row>453</xdr:row>
      <xdr:rowOff>90766</xdr:rowOff>
    </xdr:from>
    <xdr:to>
      <xdr:col>83</xdr:col>
      <xdr:colOff>268940</xdr:colOff>
      <xdr:row>467</xdr:row>
      <xdr:rowOff>32495</xdr:rowOff>
    </xdr:to>
    <xdr:graphicFrame macro="">
      <xdr:nvGraphicFramePr>
        <xdr:cNvPr id="15" name="Diagram 14">
          <a:extLst>
            <a:ext uri="{FF2B5EF4-FFF2-40B4-BE49-F238E27FC236}">
              <a16:creationId xmlns="" xmlns:a16="http://schemas.microsoft.com/office/drawing/2014/main" id="{00000000-0008-0000-1100-00000F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60</xdr:col>
      <xdr:colOff>958102</xdr:colOff>
      <xdr:row>555</xdr:row>
      <xdr:rowOff>180414</xdr:rowOff>
    </xdr:from>
    <xdr:to>
      <xdr:col>97</xdr:col>
      <xdr:colOff>319368</xdr:colOff>
      <xdr:row>585</xdr:row>
      <xdr:rowOff>168088</xdr:rowOff>
    </xdr:to>
    <xdr:graphicFrame macro="">
      <xdr:nvGraphicFramePr>
        <xdr:cNvPr id="16" name="Diagram 15">
          <a:extLst>
            <a:ext uri="{FF2B5EF4-FFF2-40B4-BE49-F238E27FC236}">
              <a16:creationId xmlns="" xmlns:a16="http://schemas.microsoft.com/office/drawing/2014/main" id="{00000000-0008-0000-1100-000010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9</xdr:col>
      <xdr:colOff>3476625</xdr:colOff>
      <xdr:row>127</xdr:row>
      <xdr:rowOff>88582</xdr:rowOff>
    </xdr:from>
    <xdr:to>
      <xdr:col>24</xdr:col>
      <xdr:colOff>651510</xdr:colOff>
      <xdr:row>141</xdr:row>
      <xdr:rowOff>86677</xdr:rowOff>
    </xdr:to>
    <xdr:graphicFrame macro="">
      <xdr:nvGraphicFramePr>
        <xdr:cNvPr id="17" name="Diagram 16">
          <a:extLst>
            <a:ext uri="{FF2B5EF4-FFF2-40B4-BE49-F238E27FC236}">
              <a16:creationId xmlns="" xmlns:a16="http://schemas.microsoft.com/office/drawing/2014/main" id="{00000000-0008-0000-1100-000011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>
    <xdr:from>
      <xdr:col>9</xdr:col>
      <xdr:colOff>661148</xdr:colOff>
      <xdr:row>148</xdr:row>
      <xdr:rowOff>0</xdr:rowOff>
    </xdr:from>
    <xdr:to>
      <xdr:col>23</xdr:col>
      <xdr:colOff>134472</xdr:colOff>
      <xdr:row>174</xdr:row>
      <xdr:rowOff>22411</xdr:rowOff>
    </xdr:to>
    <xdr:graphicFrame macro="">
      <xdr:nvGraphicFramePr>
        <xdr:cNvPr id="18" name="Diagram 17">
          <a:extLst>
            <a:ext uri="{FF2B5EF4-FFF2-40B4-BE49-F238E27FC236}">
              <a16:creationId xmlns="" xmlns:a16="http://schemas.microsoft.com/office/drawing/2014/main" id="{00000000-0008-0000-1100-00001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>
    <xdr:from>
      <xdr:col>5</xdr:col>
      <xdr:colOff>834038</xdr:colOff>
      <xdr:row>323</xdr:row>
      <xdr:rowOff>150596</xdr:rowOff>
    </xdr:from>
    <xdr:to>
      <xdr:col>17</xdr:col>
      <xdr:colOff>388003</xdr:colOff>
      <xdr:row>347</xdr:row>
      <xdr:rowOff>175090</xdr:rowOff>
    </xdr:to>
    <xdr:graphicFrame macro="">
      <xdr:nvGraphicFramePr>
        <xdr:cNvPr id="19" name="Diagram 18">
          <a:extLst>
            <a:ext uri="{FF2B5EF4-FFF2-40B4-BE49-F238E27FC236}">
              <a16:creationId xmlns="" xmlns:a16="http://schemas.microsoft.com/office/drawing/2014/main" id="{00000000-0008-0000-1100-00001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>
    <xdr:from>
      <xdr:col>7</xdr:col>
      <xdr:colOff>491459</xdr:colOff>
      <xdr:row>187</xdr:row>
      <xdr:rowOff>109576</xdr:rowOff>
    </xdr:from>
    <xdr:to>
      <xdr:col>25</xdr:col>
      <xdr:colOff>560294</xdr:colOff>
      <xdr:row>221</xdr:row>
      <xdr:rowOff>78441</xdr:rowOff>
    </xdr:to>
    <xdr:graphicFrame macro="">
      <xdr:nvGraphicFramePr>
        <xdr:cNvPr id="20" name="Diagram 19">
          <a:extLst>
            <a:ext uri="{FF2B5EF4-FFF2-40B4-BE49-F238E27FC236}">
              <a16:creationId xmlns="" xmlns:a16="http://schemas.microsoft.com/office/drawing/2014/main" id="{00000000-0008-0000-1100-00001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>
    <xdr:from>
      <xdr:col>3</xdr:col>
      <xdr:colOff>3136446</xdr:colOff>
      <xdr:row>371</xdr:row>
      <xdr:rowOff>181215</xdr:rowOff>
    </xdr:from>
    <xdr:to>
      <xdr:col>26</xdr:col>
      <xdr:colOff>607518</xdr:colOff>
      <xdr:row>399</xdr:row>
      <xdr:rowOff>14807</xdr:rowOff>
    </xdr:to>
    <xdr:graphicFrame macro="">
      <xdr:nvGraphicFramePr>
        <xdr:cNvPr id="21" name="Diagram 20">
          <a:extLst>
            <a:ext uri="{FF2B5EF4-FFF2-40B4-BE49-F238E27FC236}">
              <a16:creationId xmlns="" xmlns:a16="http://schemas.microsoft.com/office/drawing/2014/main" id="{00000000-0008-0000-1100-00001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twoCellAnchor>
  <xdr:twoCellAnchor>
    <xdr:from>
      <xdr:col>59</xdr:col>
      <xdr:colOff>818030</xdr:colOff>
      <xdr:row>238</xdr:row>
      <xdr:rowOff>180414</xdr:rowOff>
    </xdr:from>
    <xdr:to>
      <xdr:col>67</xdr:col>
      <xdr:colOff>358589</xdr:colOff>
      <xdr:row>263</xdr:row>
      <xdr:rowOff>78443</xdr:rowOff>
    </xdr:to>
    <xdr:graphicFrame macro="">
      <xdr:nvGraphicFramePr>
        <xdr:cNvPr id="22" name="Diagram 21">
          <a:extLst>
            <a:ext uri="{FF2B5EF4-FFF2-40B4-BE49-F238E27FC236}">
              <a16:creationId xmlns="" xmlns:a16="http://schemas.microsoft.com/office/drawing/2014/main" id="{00000000-0008-0000-1100-00001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twoCellAnchor>
  <xdr:twoCellAnchor>
    <xdr:from>
      <xdr:col>4</xdr:col>
      <xdr:colOff>261939</xdr:colOff>
      <xdr:row>277</xdr:row>
      <xdr:rowOff>172008</xdr:rowOff>
    </xdr:from>
    <xdr:to>
      <xdr:col>13</xdr:col>
      <xdr:colOff>500063</xdr:colOff>
      <xdr:row>297</xdr:row>
      <xdr:rowOff>-1</xdr:rowOff>
    </xdr:to>
    <xdr:graphicFrame macro="">
      <xdr:nvGraphicFramePr>
        <xdr:cNvPr id="23" name="Diagram 22">
          <a:extLst>
            <a:ext uri="{FF2B5EF4-FFF2-40B4-BE49-F238E27FC236}">
              <a16:creationId xmlns="" xmlns:a16="http://schemas.microsoft.com/office/drawing/2014/main" id="{00000000-0008-0000-1100-00001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0"/>
        </a:graphicData>
      </a:graphic>
    </xdr:graphicFrame>
    <xdr:clientData/>
  </xdr:twoCellAnchor>
  <xdr:twoCellAnchor>
    <xdr:from>
      <xdr:col>9</xdr:col>
      <xdr:colOff>840339</xdr:colOff>
      <xdr:row>71</xdr:row>
      <xdr:rowOff>146781</xdr:rowOff>
    </xdr:from>
    <xdr:to>
      <xdr:col>20</xdr:col>
      <xdr:colOff>39729</xdr:colOff>
      <xdr:row>87</xdr:row>
      <xdr:rowOff>71309</xdr:rowOff>
    </xdr:to>
    <xdr:graphicFrame macro="">
      <xdr:nvGraphicFramePr>
        <xdr:cNvPr id="24" name="Diagram 23">
          <a:extLst>
            <a:ext uri="{FF2B5EF4-FFF2-40B4-BE49-F238E27FC236}">
              <a16:creationId xmlns="" xmlns:a16="http://schemas.microsoft.com/office/drawing/2014/main" id="{00000000-0008-0000-1100-00001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1"/>
        </a:graphicData>
      </a:graphic>
    </xdr:graphicFrame>
    <xdr:clientData/>
  </xdr:twoCellAnchor>
  <xdr:twoCellAnchor>
    <xdr:from>
      <xdr:col>18</xdr:col>
      <xdr:colOff>101054</xdr:colOff>
      <xdr:row>276</xdr:row>
      <xdr:rowOff>145996</xdr:rowOff>
    </xdr:from>
    <xdr:to>
      <xdr:col>30</xdr:col>
      <xdr:colOff>539084</xdr:colOff>
      <xdr:row>297</xdr:row>
      <xdr:rowOff>108857</xdr:rowOff>
    </xdr:to>
    <xdr:graphicFrame macro="">
      <xdr:nvGraphicFramePr>
        <xdr:cNvPr id="25" name="Diagram 24">
          <a:extLst>
            <a:ext uri="{FF2B5EF4-FFF2-40B4-BE49-F238E27FC236}">
              <a16:creationId xmlns="" xmlns:a16="http://schemas.microsoft.com/office/drawing/2014/main" id="{00000000-0008-0000-1100-00001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2"/>
        </a:graphicData>
      </a:graphic>
    </xdr:graphicFrame>
    <xdr:clientData/>
  </xdr:twoCellAnchor>
  <xdr:twoCellAnchor>
    <xdr:from>
      <xdr:col>61</xdr:col>
      <xdr:colOff>962744</xdr:colOff>
      <xdr:row>4</xdr:row>
      <xdr:rowOff>229720</xdr:rowOff>
    </xdr:from>
    <xdr:to>
      <xdr:col>74</xdr:col>
      <xdr:colOff>312964</xdr:colOff>
      <xdr:row>20</xdr:row>
      <xdr:rowOff>149678</xdr:rowOff>
    </xdr:to>
    <xdr:graphicFrame macro="">
      <xdr:nvGraphicFramePr>
        <xdr:cNvPr id="26" name="Diagram 25">
          <a:extLst>
            <a:ext uri="{FF2B5EF4-FFF2-40B4-BE49-F238E27FC236}">
              <a16:creationId xmlns="" xmlns:a16="http://schemas.microsoft.com/office/drawing/2014/main" id="{00000000-0008-0000-1100-00001A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3"/>
        </a:graphicData>
      </a:graphic>
    </xdr:graphicFrame>
    <xdr:clientData/>
  </xdr:twoCellAnchor>
  <xdr:twoCellAnchor>
    <xdr:from>
      <xdr:col>9</xdr:col>
      <xdr:colOff>2362553</xdr:colOff>
      <xdr:row>462</xdr:row>
      <xdr:rowOff>16397</xdr:rowOff>
    </xdr:from>
    <xdr:to>
      <xdr:col>27</xdr:col>
      <xdr:colOff>217511</xdr:colOff>
      <xdr:row>480</xdr:row>
      <xdr:rowOff>77144</xdr:rowOff>
    </xdr:to>
    <xdr:graphicFrame macro="">
      <xdr:nvGraphicFramePr>
        <xdr:cNvPr id="27" name="Diagram 26">
          <a:extLst>
            <a:ext uri="{FF2B5EF4-FFF2-40B4-BE49-F238E27FC236}">
              <a16:creationId xmlns="" xmlns:a16="http://schemas.microsoft.com/office/drawing/2014/main" id="{00000000-0008-0000-1100-00001B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4"/>
        </a:graphicData>
      </a:graphic>
    </xdr:graphicFrame>
    <xdr:clientData/>
  </xdr:twoCellAnchor>
  <xdr:twoCellAnchor>
    <xdr:from>
      <xdr:col>9</xdr:col>
      <xdr:colOff>2263589</xdr:colOff>
      <xdr:row>483</xdr:row>
      <xdr:rowOff>112059</xdr:rowOff>
    </xdr:from>
    <xdr:to>
      <xdr:col>27</xdr:col>
      <xdr:colOff>118547</xdr:colOff>
      <xdr:row>501</xdr:row>
      <xdr:rowOff>172806</xdr:rowOff>
    </xdr:to>
    <xdr:graphicFrame macro="">
      <xdr:nvGraphicFramePr>
        <xdr:cNvPr id="28" name="Diagram 27">
          <a:extLst>
            <a:ext uri="{FF2B5EF4-FFF2-40B4-BE49-F238E27FC236}">
              <a16:creationId xmlns="" xmlns:a16="http://schemas.microsoft.com/office/drawing/2014/main" id="{00000000-0008-0000-1100-00001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5"/>
        </a:graphicData>
      </a:graphic>
    </xdr:graphicFrame>
    <xdr:clientData/>
  </xdr:twoCellAnchor>
  <xdr:twoCellAnchor>
    <xdr:from>
      <xdr:col>130</xdr:col>
      <xdr:colOff>569101</xdr:colOff>
      <xdr:row>0</xdr:row>
      <xdr:rowOff>0</xdr:rowOff>
    </xdr:from>
    <xdr:to>
      <xdr:col>142</xdr:col>
      <xdr:colOff>358590</xdr:colOff>
      <xdr:row>23</xdr:row>
      <xdr:rowOff>71718</xdr:rowOff>
    </xdr:to>
    <xdr:graphicFrame macro="">
      <xdr:nvGraphicFramePr>
        <xdr:cNvPr id="29" name="Diagram 28">
          <a:extLst>
            <a:ext uri="{FF2B5EF4-FFF2-40B4-BE49-F238E27FC236}">
              <a16:creationId xmlns="" xmlns:a16="http://schemas.microsoft.com/office/drawing/2014/main" id="{00000000-0008-0000-1100-00001D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6"/>
        </a:graphicData>
      </a:graphic>
    </xdr:graphicFrame>
    <xdr:clientData/>
  </xdr:twoCellAnchor>
  <xdr:twoCellAnchor>
    <xdr:from>
      <xdr:col>0</xdr:col>
      <xdr:colOff>999724</xdr:colOff>
      <xdr:row>335</xdr:row>
      <xdr:rowOff>26331</xdr:rowOff>
    </xdr:from>
    <xdr:to>
      <xdr:col>3</xdr:col>
      <xdr:colOff>2642186</xdr:colOff>
      <xdr:row>362</xdr:row>
      <xdr:rowOff>46422</xdr:rowOff>
    </xdr:to>
    <xdr:graphicFrame macro="">
      <xdr:nvGraphicFramePr>
        <xdr:cNvPr id="30" name="Diagram 29">
          <a:extLst>
            <a:ext uri="{FF2B5EF4-FFF2-40B4-BE49-F238E27FC236}">
              <a16:creationId xmlns="" xmlns:a16="http://schemas.microsoft.com/office/drawing/2014/main" id="{00000000-0008-0000-1100-00001E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7"/>
        </a:graphicData>
      </a:graphic>
    </xdr:graphicFrame>
    <xdr:clientData/>
  </xdr:twoCellAnchor>
  <xdr:twoCellAnchor>
    <xdr:from>
      <xdr:col>0</xdr:col>
      <xdr:colOff>1</xdr:colOff>
      <xdr:row>295</xdr:row>
      <xdr:rowOff>164005</xdr:rowOff>
    </xdr:from>
    <xdr:to>
      <xdr:col>2</xdr:col>
      <xdr:colOff>2061884</xdr:colOff>
      <xdr:row>313</xdr:row>
      <xdr:rowOff>89647</xdr:rowOff>
    </xdr:to>
    <xdr:graphicFrame macro="">
      <xdr:nvGraphicFramePr>
        <xdr:cNvPr id="31" name="Diagram 30">
          <a:extLst>
            <a:ext uri="{FF2B5EF4-FFF2-40B4-BE49-F238E27FC236}">
              <a16:creationId xmlns="" xmlns:a16="http://schemas.microsoft.com/office/drawing/2014/main" id="{00000000-0008-0000-1100-00001F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8"/>
        </a:graphicData>
      </a:graphic>
    </xdr:graphicFrame>
    <xdr:clientData/>
  </xdr:twoCellAnchor>
  <xdr:twoCellAnchor>
    <xdr:from>
      <xdr:col>0</xdr:col>
      <xdr:colOff>898072</xdr:colOff>
      <xdr:row>364</xdr:row>
      <xdr:rowOff>193220</xdr:rowOff>
    </xdr:from>
    <xdr:to>
      <xdr:col>3</xdr:col>
      <xdr:colOff>2775858</xdr:colOff>
      <xdr:row>390</xdr:row>
      <xdr:rowOff>108856</xdr:rowOff>
    </xdr:to>
    <xdr:graphicFrame macro="">
      <xdr:nvGraphicFramePr>
        <xdr:cNvPr id="32" name="Diagram 31">
          <a:extLst>
            <a:ext uri="{FF2B5EF4-FFF2-40B4-BE49-F238E27FC236}">
              <a16:creationId xmlns="" xmlns:a16="http://schemas.microsoft.com/office/drawing/2014/main" id="{00000000-0008-0000-1100-000020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9"/>
        </a:graphicData>
      </a:graphic>
    </xdr:graphicFrame>
    <xdr:clientData/>
  </xdr:twoCellAnchor>
  <xdr:twoCellAnchor>
    <xdr:from>
      <xdr:col>5</xdr:col>
      <xdr:colOff>0</xdr:colOff>
      <xdr:row>399</xdr:row>
      <xdr:rowOff>0</xdr:rowOff>
    </xdr:from>
    <xdr:to>
      <xdr:col>34</xdr:col>
      <xdr:colOff>244929</xdr:colOff>
      <xdr:row>445</xdr:row>
      <xdr:rowOff>163285</xdr:rowOff>
    </xdr:to>
    <xdr:graphicFrame macro="">
      <xdr:nvGraphicFramePr>
        <xdr:cNvPr id="33" name="Diagram 32">
          <a:extLst>
            <a:ext uri="{FF2B5EF4-FFF2-40B4-BE49-F238E27FC236}">
              <a16:creationId xmlns="" xmlns:a16="http://schemas.microsoft.com/office/drawing/2014/main" id="{00000000-0008-0000-1100-000021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0"/>
        </a:graphicData>
      </a:graphic>
    </xdr:graphicFrame>
    <xdr:clientData/>
  </xdr:twoCellAnchor>
  <xdr:twoCellAnchor>
    <xdr:from>
      <xdr:col>14</xdr:col>
      <xdr:colOff>150477</xdr:colOff>
      <xdr:row>349</xdr:row>
      <xdr:rowOff>145677</xdr:rowOff>
    </xdr:from>
    <xdr:to>
      <xdr:col>34</xdr:col>
      <xdr:colOff>123263</xdr:colOff>
      <xdr:row>387</xdr:row>
      <xdr:rowOff>152880</xdr:rowOff>
    </xdr:to>
    <xdr:graphicFrame macro="">
      <xdr:nvGraphicFramePr>
        <xdr:cNvPr id="34" name="Diagram 33">
          <a:extLst>
            <a:ext uri="{FF2B5EF4-FFF2-40B4-BE49-F238E27FC236}">
              <a16:creationId xmlns="" xmlns:a16="http://schemas.microsoft.com/office/drawing/2014/main" id="{00000000-0008-0000-1100-00002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1"/>
        </a:graphicData>
      </a:graphic>
    </xdr:graphicFrame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>
    <xdr:from>
      <xdr:col>28</xdr:col>
      <xdr:colOff>1473572</xdr:colOff>
      <xdr:row>214</xdr:row>
      <xdr:rowOff>68036</xdr:rowOff>
    </xdr:from>
    <xdr:to>
      <xdr:col>39</xdr:col>
      <xdr:colOff>802820</xdr:colOff>
      <xdr:row>255</xdr:row>
      <xdr:rowOff>27214</xdr:rowOff>
    </xdr:to>
    <xdr:graphicFrame macro="">
      <xdr:nvGraphicFramePr>
        <xdr:cNvPr id="2" name="Diagram 1">
          <a:extLst>
            <a:ext uri="{FF2B5EF4-FFF2-40B4-BE49-F238E27FC236}">
              <a16:creationId xmlns="" xmlns:a16="http://schemas.microsoft.com/office/drawing/2014/main" id="{00000000-0008-0000-12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28</xdr:col>
      <xdr:colOff>459441</xdr:colOff>
      <xdr:row>131</xdr:row>
      <xdr:rowOff>90766</xdr:rowOff>
    </xdr:from>
    <xdr:to>
      <xdr:col>41</xdr:col>
      <xdr:colOff>717176</xdr:colOff>
      <xdr:row>152</xdr:row>
      <xdr:rowOff>9525</xdr:rowOff>
    </xdr:to>
    <xdr:graphicFrame macro="">
      <xdr:nvGraphicFramePr>
        <xdr:cNvPr id="3" name="Diagram 2">
          <a:extLst>
            <a:ext uri="{FF2B5EF4-FFF2-40B4-BE49-F238E27FC236}">
              <a16:creationId xmlns="" xmlns:a16="http://schemas.microsoft.com/office/drawing/2014/main" id="{00000000-0008-0000-12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28</xdr:col>
      <xdr:colOff>695325</xdr:colOff>
      <xdr:row>156</xdr:row>
      <xdr:rowOff>24092</xdr:rowOff>
    </xdr:from>
    <xdr:to>
      <xdr:col>40</xdr:col>
      <xdr:colOff>20731</xdr:colOff>
      <xdr:row>172</xdr:row>
      <xdr:rowOff>170329</xdr:rowOff>
    </xdr:to>
    <xdr:graphicFrame macro="">
      <xdr:nvGraphicFramePr>
        <xdr:cNvPr id="4" name="Diagram 3">
          <a:extLst>
            <a:ext uri="{FF2B5EF4-FFF2-40B4-BE49-F238E27FC236}">
              <a16:creationId xmlns="" xmlns:a16="http://schemas.microsoft.com/office/drawing/2014/main" id="{00000000-0008-0000-12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3</xdr:col>
      <xdr:colOff>530679</xdr:colOff>
      <xdr:row>38</xdr:row>
      <xdr:rowOff>91168</xdr:rowOff>
    </xdr:from>
    <xdr:to>
      <xdr:col>17</xdr:col>
      <xdr:colOff>0</xdr:colOff>
      <xdr:row>51</xdr:row>
      <xdr:rowOff>17689</xdr:rowOff>
    </xdr:to>
    <xdr:graphicFrame macro="">
      <xdr:nvGraphicFramePr>
        <xdr:cNvPr id="5" name="Diagram 4">
          <a:extLst>
            <a:ext uri="{FF2B5EF4-FFF2-40B4-BE49-F238E27FC236}">
              <a16:creationId xmlns="" xmlns:a16="http://schemas.microsoft.com/office/drawing/2014/main" id="{00000000-0008-0000-12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3</xdr:col>
      <xdr:colOff>432707</xdr:colOff>
      <xdr:row>71</xdr:row>
      <xdr:rowOff>91166</xdr:rowOff>
    </xdr:from>
    <xdr:to>
      <xdr:col>16</xdr:col>
      <xdr:colOff>432707</xdr:colOff>
      <xdr:row>86</xdr:row>
      <xdr:rowOff>156483</xdr:rowOff>
    </xdr:to>
    <xdr:graphicFrame macro="">
      <xdr:nvGraphicFramePr>
        <xdr:cNvPr id="6" name="Diagram 5">
          <a:extLst>
            <a:ext uri="{FF2B5EF4-FFF2-40B4-BE49-F238E27FC236}">
              <a16:creationId xmlns="" xmlns:a16="http://schemas.microsoft.com/office/drawing/2014/main" id="{00000000-0008-0000-1200-00000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3</xdr:col>
      <xdr:colOff>186337</xdr:colOff>
      <xdr:row>118</xdr:row>
      <xdr:rowOff>169409</xdr:rowOff>
    </xdr:from>
    <xdr:to>
      <xdr:col>17</xdr:col>
      <xdr:colOff>329773</xdr:colOff>
      <xdr:row>143</xdr:row>
      <xdr:rowOff>175293</xdr:rowOff>
    </xdr:to>
    <xdr:graphicFrame macro="">
      <xdr:nvGraphicFramePr>
        <xdr:cNvPr id="7" name="Diagram 6">
          <a:extLst>
            <a:ext uri="{FF2B5EF4-FFF2-40B4-BE49-F238E27FC236}">
              <a16:creationId xmlns="" xmlns:a16="http://schemas.microsoft.com/office/drawing/2014/main" id="{00000000-0008-0000-12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3</xdr:col>
      <xdr:colOff>304800</xdr:colOff>
      <xdr:row>172</xdr:row>
      <xdr:rowOff>61911</xdr:rowOff>
    </xdr:from>
    <xdr:to>
      <xdr:col>19</xdr:col>
      <xdr:colOff>476250</xdr:colOff>
      <xdr:row>192</xdr:row>
      <xdr:rowOff>76200</xdr:rowOff>
    </xdr:to>
    <xdr:graphicFrame macro="">
      <xdr:nvGraphicFramePr>
        <xdr:cNvPr id="8" name="Diagram 7">
          <a:extLst>
            <a:ext uri="{FF2B5EF4-FFF2-40B4-BE49-F238E27FC236}">
              <a16:creationId xmlns="" xmlns:a16="http://schemas.microsoft.com/office/drawing/2014/main" id="{00000000-0008-0000-1200-00000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19</xdr:col>
      <xdr:colOff>300160</xdr:colOff>
      <xdr:row>112</xdr:row>
      <xdr:rowOff>29135</xdr:rowOff>
    </xdr:from>
    <xdr:to>
      <xdr:col>29</xdr:col>
      <xdr:colOff>284150</xdr:colOff>
      <xdr:row>132</xdr:row>
      <xdr:rowOff>11205</xdr:rowOff>
    </xdr:to>
    <xdr:graphicFrame macro="">
      <xdr:nvGraphicFramePr>
        <xdr:cNvPr id="9" name="Diagram 8">
          <a:extLst>
            <a:ext uri="{FF2B5EF4-FFF2-40B4-BE49-F238E27FC236}">
              <a16:creationId xmlns="" xmlns:a16="http://schemas.microsoft.com/office/drawing/2014/main" id="{00000000-0008-0000-1200-00000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27</xdr:col>
      <xdr:colOff>212913</xdr:colOff>
      <xdr:row>183</xdr:row>
      <xdr:rowOff>152399</xdr:rowOff>
    </xdr:from>
    <xdr:to>
      <xdr:col>32</xdr:col>
      <xdr:colOff>347383</xdr:colOff>
      <xdr:row>201</xdr:row>
      <xdr:rowOff>100852</xdr:rowOff>
    </xdr:to>
    <xdr:graphicFrame macro="">
      <xdr:nvGraphicFramePr>
        <xdr:cNvPr id="10" name="Diagram 9">
          <a:extLst>
            <a:ext uri="{FF2B5EF4-FFF2-40B4-BE49-F238E27FC236}">
              <a16:creationId xmlns="" xmlns:a16="http://schemas.microsoft.com/office/drawing/2014/main" id="{00000000-0008-0000-1200-00000A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0</xdr:col>
      <xdr:colOff>0</xdr:colOff>
      <xdr:row>115</xdr:row>
      <xdr:rowOff>29131</xdr:rowOff>
    </xdr:from>
    <xdr:to>
      <xdr:col>9</xdr:col>
      <xdr:colOff>470649</xdr:colOff>
      <xdr:row>138</xdr:row>
      <xdr:rowOff>168086</xdr:rowOff>
    </xdr:to>
    <xdr:graphicFrame macro="">
      <xdr:nvGraphicFramePr>
        <xdr:cNvPr id="11" name="Diagram 10">
          <a:extLst>
            <a:ext uri="{FF2B5EF4-FFF2-40B4-BE49-F238E27FC236}">
              <a16:creationId xmlns="" xmlns:a16="http://schemas.microsoft.com/office/drawing/2014/main" id="{00000000-0008-0000-1200-00000B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</xdr:wsDr>
</file>

<file path=xl/drawings/drawing24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481853</xdr:colOff>
      <xdr:row>70</xdr:row>
      <xdr:rowOff>109258</xdr:rowOff>
    </xdr:from>
    <xdr:to>
      <xdr:col>15</xdr:col>
      <xdr:colOff>337857</xdr:colOff>
      <xdr:row>88</xdr:row>
      <xdr:rowOff>33618</xdr:rowOff>
    </xdr:to>
    <xdr:graphicFrame macro="">
      <xdr:nvGraphicFramePr>
        <xdr:cNvPr id="2" name="Diagram 1">
          <a:extLst>
            <a:ext uri="{FF2B5EF4-FFF2-40B4-BE49-F238E27FC236}">
              <a16:creationId xmlns="" xmlns:a16="http://schemas.microsoft.com/office/drawing/2014/main" id="{00000000-0008-0000-13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1378322</xdr:colOff>
      <xdr:row>70</xdr:row>
      <xdr:rowOff>107577</xdr:rowOff>
    </xdr:from>
    <xdr:to>
      <xdr:col>6</xdr:col>
      <xdr:colOff>627529</xdr:colOff>
      <xdr:row>87</xdr:row>
      <xdr:rowOff>100852</xdr:rowOff>
    </xdr:to>
    <xdr:graphicFrame macro="">
      <xdr:nvGraphicFramePr>
        <xdr:cNvPr id="3" name="Diagram 2">
          <a:extLst>
            <a:ext uri="{FF2B5EF4-FFF2-40B4-BE49-F238E27FC236}">
              <a16:creationId xmlns="" xmlns:a16="http://schemas.microsoft.com/office/drawing/2014/main" id="{00000000-0008-0000-13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ozos_srv\kozos\sajat%20asztal\EU\abszol&#250;t%20&#225;r\PRIXABS-SDTT-2000-2007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Reiter%20Szilvia/W10migracio_ReiterSzilvia/Agrarstatisztika%20honlap/HITREG%20-%20Felt&#246;ltend&#337;%20f&#225;jlok/2024_II_negyed&#233;ves%20felt&#246;lt&#233;s/Q2_adatt&#225;bl&#225;k/am_adatszolgaltatas_2024Q2_felt&#246;ltend&#337;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Reiter%20Szilvia/W10migracio_ReiterSzilvia/Agrarstatisztika%20honlap/Adatt&#225;bl&#225;k_HITREG/2023Q1/am_adatszolgaltatas_2023Q1_RSz_publi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Reiter%20Szilvia/W10migracio_ReiterSzilvia/Agrarstatisztika%20honlap/Adatt&#225;bl&#225;k_HITREG/2023Q2/am_adatszolgaltatas_2023Q2_RSz_publi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Reiter%20Szilvia/W10migracio_ReiterSzilvia/Agrarstatisztika%20honlap/Adatt&#225;bl&#225;k_HITREG/2023Q3/am_adatszolgaltatas_2023Q3_RSz_publi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Reiter%20Szilvia/W10migracio_ReiterSzilvia/Agrarstatisztika%20honlap/Adatt&#225;bl&#225;k_HITREG/2023Q4/am_adatszolgaltatas_2023Q4_RSz_publi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/Reiter%20Szilvia/W10migracio_ReiterSzilvia/Agrarstatisztika%20honlap/Adatt&#225;bl&#225;k_HITREG/2024Q1/am_adatszolgaltatas_2024Q1_RSz_publi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/Reiter%20Szilvia/W10migracio_ReiterSzilvia/Agrarstatisztika%20honlap/HITREG%20-%20Felt&#246;ltend&#337;%20f&#225;jlok/2024_III_negyed&#233;ves%20felt&#246;lt&#233;s/Q3%20felt&#246;lt&#246;tt/am_adatszolgaltatas_2024Q2.xlsx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Reiter%20Szilvia/W10migracio_ReiterSzilvia/Agrarstatisztika%20honlap/HITREG%20-%20Felt&#246;ntend&#337;%20f&#225;jlok/2024.%20m&#225;jus%2031/am_adatszolgaltatas_2023Q1.xlsx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/Reiter%20Szilvia/W10migracio_ReiterSzilvia/Agrarstatisztika%20honlap/HITREG%20-%20Felt&#246;ntend&#337;%20f&#225;jlok/2024.%20m&#225;jus%2031/am_adatszolgaltatas_2023Q2.xlsx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/Reiter%20Szilvia/W10migracio_ReiterSzilvia/Agrarstatisztika%20honlap/HITREG%20-%20Felt&#246;ntend&#337;%20f&#225;jlok/2024.%20m&#225;jus%2031/am_adatszolgaltatas_2023Q3.xlsx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/Reiter%20Szilvia/W10migracio_ReiterSzilvia/Agrarstatisztika%20honlap/HITREG%20-%20Felt&#246;ntend&#337;%20f&#225;jlok/2024.%20m&#225;jus%2031/am_adatszolgaltatas_2023Q4.xlsx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/Reiter%20Szilvia/W10migracio_ReiterSzilvia/Agrarstatisztika%20honlap/HITREG%20-%20Felt&#246;ltend&#337;%20f&#225;jlok/2024_IV_negyed&#233;ves%20felt&#246;lt&#233;s/Q4%20felt&#246;lt&#246;tt/am_adatszolgaltatas_2024Q4.xlsx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/Reiter%20Szilvia/W10migracio_ReiterSzilvia/Agrarstatisztika%20honlap/AM%20Statisztikai%20microsite/A_Agr&#225;rhitelek/Statisztikai%20honlap_2/Munkaf&#225;jlok/2022.Q3/2022_III_negyed&#233;v/Agr&#225;rgazdas&#225;g%20hitelei_2022Q3_publi.xlsx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/Reiter%20Szilvia/W10migracio_ReiterSzilvia/Agrarstatisztika%20honlap/Agr&#225;rhitelez&#233;s_Statisztikai%20honlap/Munkaf&#225;jlok/2021.Q1/Sz&#225;mol&#243;s_id&#337;sorok_&#225;br&#225;k_2021Q1.xlsx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/Reiter%20Szilvia/agrarinformacio.kormany.hu/&#193;T_Statisztika_%20felt&#246;lt&#246;tt%20adatai/Agr&#225;rhitelek/Statisztikai%20honlap/T&#225;bl&#225;k/Adatt&#225;bl&#225;k%20-%20magyar/Agr&#225;rgazdas&#225;g%20hitelei_2015_2016_2017_2018%20IV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ad Me"/>
      <sheetName val="Dialog"/>
      <sheetName val="List of products"/>
      <sheetName val="output"/>
      <sheetName val="Input"/>
      <sheetName val="Textes"/>
    </sheetNames>
    <sheetDataSet>
      <sheetData sheetId="0" refreshError="1"/>
      <sheetData sheetId="1" refreshError="1">
        <row r="20">
          <cell r="H20">
            <v>2000</v>
          </cell>
        </row>
        <row r="21">
          <cell r="H21">
            <v>2006</v>
          </cell>
        </row>
      </sheetData>
      <sheetData sheetId="2" refreshError="1"/>
      <sheetData sheetId="3" refreshError="1"/>
      <sheetData sheetId="4" refreshError="1"/>
      <sheetData sheetId="5" refreshError="1">
        <row r="1">
          <cell r="B1">
            <v>9</v>
          </cell>
        </row>
        <row r="8">
          <cell r="A8" t="str">
            <v>01110000</v>
          </cell>
          <cell r="B8">
            <v>1120</v>
          </cell>
          <cell r="C8" t="str">
            <v>u2</v>
          </cell>
          <cell r="D8" t="str">
            <v>g74</v>
          </cell>
          <cell r="E8" t="str">
            <v>Soft wheat - prices per 100 kg</v>
          </cell>
          <cell r="F8" t="str">
            <v>Soft wheat - prices per 100 kg</v>
          </cell>
          <cell r="G8" t="str">
            <v>Weichweizen</v>
          </cell>
          <cell r="H8" t="str">
            <v>Soft wheat - prices per 100 kg</v>
          </cell>
          <cell r="I8" t="str">
            <v>Soft wheat - prices per 100 kg</v>
          </cell>
          <cell r="J8" t="str">
            <v>Soft wheat - prices per 100 kg</v>
          </cell>
          <cell r="K8" t="str">
            <v>Soft wheat - prices per 100 kg</v>
          </cell>
          <cell r="L8" t="str">
            <v>Soft wheat - prices per 100 kg</v>
          </cell>
          <cell r="M8" t="str">
            <v>Blé tendre</v>
          </cell>
          <cell r="N8" t="str">
            <v>Soft wheat - prices per 100 kg</v>
          </cell>
          <cell r="O8" t="str">
            <v>Soft wheat - prices per 100 kg</v>
          </cell>
          <cell r="P8" t="str">
            <v>Soft wheat - prices per 100 kg</v>
          </cell>
          <cell r="Q8" t="str">
            <v>Soft wheat - prices per 100 kg</v>
          </cell>
          <cell r="R8" t="str">
            <v>Soft wheat - prices per 100 kg</v>
          </cell>
          <cell r="S8" t="str">
            <v>Soft wheat - prices per 100 kg</v>
          </cell>
          <cell r="T8" t="str">
            <v>Soft wheat - prices per 100 kg</v>
          </cell>
          <cell r="U8" t="str">
            <v>Soft wheat - prices per 100 kg</v>
          </cell>
          <cell r="V8" t="str">
            <v>Soft wheat - prices per 100 kg</v>
          </cell>
          <cell r="W8" t="str">
            <v>Soft wheat - prices per 100 kg</v>
          </cell>
          <cell r="X8" t="str">
            <v>Soft wheat - prices per 100 kg</v>
          </cell>
        </row>
        <row r="9">
          <cell r="A9" t="str">
            <v>01120000</v>
          </cell>
          <cell r="B9">
            <v>1130</v>
          </cell>
          <cell r="C9" t="str">
            <v>u2</v>
          </cell>
          <cell r="D9" t="str">
            <v>g74</v>
          </cell>
          <cell r="E9" t="str">
            <v>Durum wheat - prices per 100 kg</v>
          </cell>
          <cell r="F9" t="str">
            <v>Durum wheat - prices per 100 kg</v>
          </cell>
          <cell r="G9" t="str">
            <v>Hartweizen</v>
          </cell>
          <cell r="H9" t="str">
            <v>Durum wheat - prices per 100 kg</v>
          </cell>
          <cell r="I9" t="str">
            <v>Durum wheat - prices per 100 kg</v>
          </cell>
          <cell r="J9" t="str">
            <v>Durum wheat - prices per 100 kg</v>
          </cell>
          <cell r="K9" t="str">
            <v>Durum wheat - prices per 100 kg</v>
          </cell>
          <cell r="L9" t="str">
            <v>Durum wheat - prices per 100 kg</v>
          </cell>
          <cell r="M9" t="str">
            <v>Blé dur</v>
          </cell>
          <cell r="N9" t="str">
            <v>Durum wheat - prices per 100 kg</v>
          </cell>
          <cell r="O9" t="str">
            <v>Durum wheat - prices per 100 kg</v>
          </cell>
          <cell r="P9" t="str">
            <v>Durum wheat - prices per 100 kg</v>
          </cell>
          <cell r="Q9" t="str">
            <v>Durum wheat - prices per 100 kg</v>
          </cell>
          <cell r="R9" t="str">
            <v>Durum wheat - prices per 100 kg</v>
          </cell>
          <cell r="S9" t="str">
            <v>Durum wheat - prices per 100 kg</v>
          </cell>
          <cell r="T9" t="str">
            <v>Durum wheat - prices per 100 kg</v>
          </cell>
          <cell r="U9" t="str">
            <v>Durum wheat - prices per 100 kg</v>
          </cell>
          <cell r="V9" t="str">
            <v>Durum wheat - prices per 100 kg</v>
          </cell>
          <cell r="W9" t="str">
            <v>Durum wheat - prices per 100 kg</v>
          </cell>
          <cell r="X9" t="str">
            <v>Durum wheat - prices per 100 kg</v>
          </cell>
        </row>
        <row r="10">
          <cell r="A10" t="str">
            <v>01200000</v>
          </cell>
          <cell r="B10">
            <v>1150</v>
          </cell>
          <cell r="C10" t="str">
            <v>u2</v>
          </cell>
          <cell r="D10" t="str">
            <v>g68</v>
          </cell>
          <cell r="E10" t="str">
            <v>Rye - prices per 100 kg</v>
          </cell>
          <cell r="F10" t="str">
            <v>Rye - prices per 100 kg</v>
          </cell>
          <cell r="G10" t="str">
            <v>Roggen</v>
          </cell>
          <cell r="H10" t="str">
            <v>Rye - prices per 100 kg</v>
          </cell>
          <cell r="I10" t="str">
            <v>Rye - prices per 100 kg</v>
          </cell>
          <cell r="J10" t="str">
            <v>Rye - prices per 100 kg</v>
          </cell>
          <cell r="K10" t="str">
            <v>Rye - prices per 100 kg</v>
          </cell>
          <cell r="L10" t="str">
            <v>Rye - prices per 100 kg</v>
          </cell>
          <cell r="M10" t="str">
            <v>Seigle</v>
          </cell>
          <cell r="N10" t="str">
            <v>Rye - prices per 100 kg</v>
          </cell>
          <cell r="O10" t="str">
            <v>Rye - prices per 100 kg</v>
          </cell>
          <cell r="P10" t="str">
            <v>Rye - prices per 100 kg</v>
          </cell>
          <cell r="Q10" t="str">
            <v>Rye - prices per 100 kg</v>
          </cell>
          <cell r="R10" t="str">
            <v>Rye - prices per 100 kg</v>
          </cell>
          <cell r="S10" t="str">
            <v>Rye - prices per 100 kg</v>
          </cell>
          <cell r="T10" t="str">
            <v>Rye - prices per 100 kg</v>
          </cell>
          <cell r="U10" t="str">
            <v>Rye - prices per 100 kg</v>
          </cell>
          <cell r="V10" t="str">
            <v>Rye - prices per 100 kg</v>
          </cell>
          <cell r="W10" t="str">
            <v>Rye - prices per 100 kg</v>
          </cell>
          <cell r="X10" t="str">
            <v>Rye - prices per 100 kg</v>
          </cell>
        </row>
        <row r="11">
          <cell r="A11" t="str">
            <v>01300000</v>
          </cell>
          <cell r="B11">
            <v>1160</v>
          </cell>
          <cell r="C11" t="str">
            <v>u2</v>
          </cell>
          <cell r="D11" t="str">
            <v>g1</v>
          </cell>
          <cell r="E11" t="str">
            <v>Barley - prices per 100 kg</v>
          </cell>
          <cell r="F11" t="str">
            <v>Barley - prices per 100 kg</v>
          </cell>
          <cell r="G11" t="str">
            <v>Gerste</v>
          </cell>
          <cell r="H11" t="str">
            <v>Barley - prices per 100 kg</v>
          </cell>
          <cell r="I11" t="str">
            <v>Barley - prices per 100 kg</v>
          </cell>
          <cell r="J11" t="str">
            <v>Barley - prices per 100 kg</v>
          </cell>
          <cell r="K11" t="str">
            <v>Barley - prices per 100 kg</v>
          </cell>
          <cell r="L11" t="str">
            <v>Barley - prices per 100 kg</v>
          </cell>
          <cell r="M11" t="str">
            <v>Orge</v>
          </cell>
          <cell r="N11" t="str">
            <v>Barley - prices per 100 kg</v>
          </cell>
          <cell r="O11" t="str">
            <v>Barley - prices per 100 kg</v>
          </cell>
          <cell r="P11" t="str">
            <v>Barley - prices per 100 kg</v>
          </cell>
          <cell r="Q11" t="str">
            <v>Barley - prices per 100 kg</v>
          </cell>
          <cell r="R11" t="str">
            <v>Barley - prices per 100 kg</v>
          </cell>
          <cell r="S11" t="str">
            <v>Barley - prices per 100 kg</v>
          </cell>
          <cell r="T11" t="str">
            <v>Barley - prices per 100 kg</v>
          </cell>
          <cell r="U11" t="str">
            <v>Barley - prices per 100 kg</v>
          </cell>
          <cell r="V11" t="str">
            <v>Barley - prices per 100 kg</v>
          </cell>
          <cell r="W11" t="str">
            <v>Barley - prices per 100 kg</v>
          </cell>
          <cell r="X11" t="str">
            <v>Barley - prices per 100 kg</v>
          </cell>
        </row>
        <row r="12">
          <cell r="A12" t="str">
            <v>01310000</v>
          </cell>
          <cell r="C12" t="str">
            <v>u2</v>
          </cell>
          <cell r="D12" t="str">
            <v>g1</v>
          </cell>
          <cell r="E12" t="str">
            <v>Feed barley - prices per 100 kg</v>
          </cell>
          <cell r="F12" t="str">
            <v>Feed barley - prices per 100 kg</v>
          </cell>
          <cell r="G12" t="str">
            <v>Futtergerste</v>
          </cell>
          <cell r="H12" t="str">
            <v>Feed barley - prices per 100 kg</v>
          </cell>
          <cell r="I12" t="str">
            <v>Feed barley - prices per 100 kg</v>
          </cell>
          <cell r="J12" t="str">
            <v>Feed barley - prices per 100 kg</v>
          </cell>
          <cell r="K12" t="str">
            <v>Feed barley - prices per 100 kg</v>
          </cell>
          <cell r="L12" t="str">
            <v>Feed barley - prices per 100 kg</v>
          </cell>
          <cell r="M12" t="str">
            <v>Orge fourrager</v>
          </cell>
          <cell r="N12" t="str">
            <v>Feed barley - prices per 100 kg</v>
          </cell>
          <cell r="O12" t="str">
            <v>Feed barley - prices per 100 kg</v>
          </cell>
          <cell r="P12" t="str">
            <v>Feed barley - prices per 100 kg</v>
          </cell>
          <cell r="Q12" t="str">
            <v>Feed barley - prices per 100 kg</v>
          </cell>
          <cell r="R12" t="str">
            <v>Feed barley - prices per 100 kg</v>
          </cell>
          <cell r="S12" t="str">
            <v>Feed barley - prices per 100 kg</v>
          </cell>
          <cell r="T12" t="str">
            <v>Feed barley - prices per 100 kg</v>
          </cell>
          <cell r="U12" t="str">
            <v>Feed barley - prices per 100 kg</v>
          </cell>
          <cell r="V12" t="str">
            <v>Feed barley - prices per 100 kg</v>
          </cell>
          <cell r="W12" t="str">
            <v>Feed barley - prices per 100 kg</v>
          </cell>
          <cell r="X12" t="str">
            <v>Feed barley - prices per 100 kg</v>
          </cell>
        </row>
        <row r="13">
          <cell r="A13" t="str">
            <v>01320000</v>
          </cell>
          <cell r="B13">
            <v>1161</v>
          </cell>
          <cell r="C13" t="str">
            <v>u2</v>
          </cell>
          <cell r="D13" t="str">
            <v>g1</v>
          </cell>
          <cell r="E13" t="str">
            <v>Malting barley - prices per 100 kg</v>
          </cell>
          <cell r="F13" t="str">
            <v>Malting barley - prices per 100 kg</v>
          </cell>
          <cell r="G13" t="str">
            <v>Braugerste</v>
          </cell>
          <cell r="H13" t="str">
            <v>Malting barley - prices per 100 kg</v>
          </cell>
          <cell r="I13" t="str">
            <v>Malting barley - prices per 100 kg</v>
          </cell>
          <cell r="J13" t="str">
            <v>Malting barley - prices per 100 kg</v>
          </cell>
          <cell r="K13" t="str">
            <v>Malting barley - prices per 100 kg</v>
          </cell>
          <cell r="L13" t="str">
            <v>Malting barley - prices per 100 kg</v>
          </cell>
          <cell r="M13" t="str">
            <v>Orge de brasserie</v>
          </cell>
          <cell r="N13" t="str">
            <v>Malting barley - prices per 100 kg</v>
          </cell>
          <cell r="O13" t="str">
            <v>Malting barley - prices per 100 kg</v>
          </cell>
          <cell r="P13" t="str">
            <v>Malting barley - prices per 100 kg</v>
          </cell>
          <cell r="Q13" t="str">
            <v>Malting barley - prices per 100 kg</v>
          </cell>
          <cell r="R13" t="str">
            <v>Malting barley - prices per 100 kg</v>
          </cell>
          <cell r="S13" t="str">
            <v>Malting barley - prices per 100 kg</v>
          </cell>
          <cell r="T13" t="str">
            <v>Malting barley - prices per 100 kg</v>
          </cell>
          <cell r="U13" t="str">
            <v>Malting barley - prices per 100 kg</v>
          </cell>
          <cell r="V13" t="str">
            <v>Malting barley - prices per 100 kg</v>
          </cell>
          <cell r="W13" t="str">
            <v>Malting barley - prices per 100 kg</v>
          </cell>
          <cell r="X13" t="str">
            <v>Malting barley - prices per 100 kg</v>
          </cell>
        </row>
        <row r="14">
          <cell r="A14" t="str">
            <v>01400000</v>
          </cell>
          <cell r="B14">
            <v>1180</v>
          </cell>
          <cell r="C14" t="str">
            <v>u2</v>
          </cell>
          <cell r="D14" t="str">
            <v>g33</v>
          </cell>
          <cell r="E14" t="str">
            <v>Oats - prices per 100 kg</v>
          </cell>
          <cell r="F14" t="str">
            <v>Oats - prices per 100 kg</v>
          </cell>
          <cell r="G14" t="str">
            <v>Hafer</v>
          </cell>
          <cell r="H14" t="str">
            <v>Oats - prices per 100 kg</v>
          </cell>
          <cell r="I14" t="str">
            <v>Oats - prices per 100 kg</v>
          </cell>
          <cell r="J14" t="str">
            <v>Oats - prices per 100 kg</v>
          </cell>
          <cell r="K14" t="str">
            <v>Oats - prices per 100 kg</v>
          </cell>
          <cell r="L14" t="str">
            <v>Oats - prices per 100 kg</v>
          </cell>
          <cell r="M14" t="str">
            <v>Avoine</v>
          </cell>
          <cell r="N14" t="str">
            <v>Oats - prices per 100 kg</v>
          </cell>
          <cell r="O14" t="str">
            <v>Oats - prices per 100 kg</v>
          </cell>
          <cell r="P14" t="str">
            <v>Oats - prices per 100 kg</v>
          </cell>
          <cell r="Q14" t="str">
            <v>Oats - prices per 100 kg</v>
          </cell>
          <cell r="R14" t="str">
            <v>Oats - prices per 100 kg</v>
          </cell>
          <cell r="S14" t="str">
            <v>Oats - prices per 100 kg</v>
          </cell>
          <cell r="T14" t="str">
            <v>Oats - prices per 100 kg</v>
          </cell>
          <cell r="U14" t="str">
            <v>Oats - prices per 100 kg</v>
          </cell>
          <cell r="V14" t="str">
            <v>Oats - prices per 100 kg</v>
          </cell>
          <cell r="W14" t="str">
            <v>Oats - prices per 100 kg</v>
          </cell>
          <cell r="X14" t="str">
            <v>Oats - prices per 100 kg</v>
          </cell>
        </row>
        <row r="15">
          <cell r="A15" t="str">
            <v>01500000</v>
          </cell>
          <cell r="B15">
            <v>1200</v>
          </cell>
          <cell r="C15" t="str">
            <v>u2</v>
          </cell>
          <cell r="D15" t="str">
            <v>g26</v>
          </cell>
          <cell r="E15" t="str">
            <v>Maize - prices per 100 kg</v>
          </cell>
          <cell r="F15" t="str">
            <v>Maize - prices per 100 kg</v>
          </cell>
          <cell r="G15" t="str">
            <v>Mais</v>
          </cell>
          <cell r="H15" t="str">
            <v>Maize - prices per 100 kg</v>
          </cell>
          <cell r="I15" t="str">
            <v>Maize - prices per 100 kg</v>
          </cell>
          <cell r="J15" t="str">
            <v>Maize - prices per 100 kg</v>
          </cell>
          <cell r="K15" t="str">
            <v>Maize - prices per 100 kg</v>
          </cell>
          <cell r="L15" t="str">
            <v>Maize - prices per 100 kg</v>
          </cell>
          <cell r="M15" t="str">
            <v>Maïs</v>
          </cell>
          <cell r="N15" t="str">
            <v>Maize - prices per 100 kg</v>
          </cell>
          <cell r="O15" t="str">
            <v>Maize - prices per 100 kg</v>
          </cell>
          <cell r="P15" t="str">
            <v>Maize - prices per 100 kg</v>
          </cell>
          <cell r="Q15" t="str">
            <v>Maize - prices per 100 kg</v>
          </cell>
          <cell r="R15" t="str">
            <v>Maize - prices per 100 kg</v>
          </cell>
          <cell r="S15" t="str">
            <v>Maize - prices per 100 kg</v>
          </cell>
          <cell r="T15" t="str">
            <v>Maize - prices per 100 kg</v>
          </cell>
          <cell r="U15" t="str">
            <v>Maize - prices per 100 kg</v>
          </cell>
          <cell r="V15" t="str">
            <v>Maize - prices per 100 kg</v>
          </cell>
          <cell r="W15" t="str">
            <v>Maize - prices per 100 kg</v>
          </cell>
          <cell r="X15" t="str">
            <v>Maize - prices per 100 kg</v>
          </cell>
        </row>
        <row r="16">
          <cell r="A16" t="str">
            <v>01910000</v>
          </cell>
          <cell r="B16">
            <v>1251</v>
          </cell>
          <cell r="C16" t="str">
            <v>u2</v>
          </cell>
          <cell r="D16" t="str">
            <v>g67</v>
          </cell>
          <cell r="E16" t="str">
            <v>Sorghum - prices per 100 kg</v>
          </cell>
          <cell r="F16" t="str">
            <v>Sorghum - prices per 100 kg</v>
          </cell>
          <cell r="G16" t="str">
            <v>Sorgho</v>
          </cell>
          <cell r="H16" t="str">
            <v>Sorghum - prices per 100 kg</v>
          </cell>
          <cell r="I16" t="str">
            <v>Sorghum - prices per 100 kg</v>
          </cell>
          <cell r="J16" t="str">
            <v>Sorghum - prices per 100 kg</v>
          </cell>
          <cell r="K16" t="str">
            <v>Sorghum - prices per 100 kg</v>
          </cell>
          <cell r="L16" t="str">
            <v>Sorghum - prices per 100 kg</v>
          </cell>
          <cell r="M16" t="str">
            <v>Sorgho</v>
          </cell>
          <cell r="N16" t="str">
            <v>Sorghum - prices per 100 kg</v>
          </cell>
          <cell r="O16" t="str">
            <v>Sorghum - prices per 100 kg</v>
          </cell>
          <cell r="P16" t="str">
            <v>Sorghum - prices per 100 kg</v>
          </cell>
          <cell r="Q16" t="str">
            <v>Sorghum - prices per 100 kg</v>
          </cell>
          <cell r="R16" t="str">
            <v>Sorghum - prices per 100 kg</v>
          </cell>
          <cell r="S16" t="str">
            <v>Sorghum - prices per 100 kg</v>
          </cell>
          <cell r="T16" t="str">
            <v>Sorghum - prices per 100 kg</v>
          </cell>
          <cell r="U16" t="str">
            <v>Sorghum - prices per 100 kg</v>
          </cell>
          <cell r="V16" t="str">
            <v>Sorghum - prices per 100 kg</v>
          </cell>
          <cell r="W16" t="str">
            <v>Sorghum - prices per 100 kg</v>
          </cell>
          <cell r="X16" t="str">
            <v>Sorghum - prices per 100 kg</v>
          </cell>
        </row>
        <row r="17">
          <cell r="A17" t="str">
            <v>01920000</v>
          </cell>
          <cell r="B17">
            <v>1211</v>
          </cell>
          <cell r="C17" t="str">
            <v>u2</v>
          </cell>
          <cell r="D17" t="str">
            <v>g41</v>
          </cell>
          <cell r="E17" t="str">
            <v>Triticale - prices per 100 kg</v>
          </cell>
          <cell r="F17" t="str">
            <v>Triticale - prices per 100 kg</v>
          </cell>
          <cell r="G17" t="str">
            <v>Triticale</v>
          </cell>
          <cell r="H17" t="str">
            <v>Triticale - prices per 100 kg</v>
          </cell>
          <cell r="I17" t="str">
            <v>Triticale - prices per 100 kg</v>
          </cell>
          <cell r="J17" t="str">
            <v>Triticale - prices per 100 kg</v>
          </cell>
          <cell r="K17" t="str">
            <v>Triticale - prices per 100 kg</v>
          </cell>
          <cell r="L17" t="str">
            <v>Triticale - prices per 100 kg</v>
          </cell>
          <cell r="M17" t="str">
            <v>Triticale</v>
          </cell>
          <cell r="N17" t="str">
            <v>Triticale - prices per 100 kg</v>
          </cell>
          <cell r="O17" t="str">
            <v>Triticale - prices per 100 kg</v>
          </cell>
          <cell r="P17" t="str">
            <v>Triticale - prices per 100 kg</v>
          </cell>
          <cell r="Q17" t="str">
            <v>Triticale - prices per 100 kg</v>
          </cell>
          <cell r="R17" t="str">
            <v>Triticale - prices per 100 kg</v>
          </cell>
          <cell r="S17" t="str">
            <v>Triticale - prices per 100 kg</v>
          </cell>
          <cell r="T17" t="str">
            <v>Triticale - prices per 100 kg</v>
          </cell>
          <cell r="U17" t="str">
            <v>Triticale - prices per 100 kg</v>
          </cell>
          <cell r="V17" t="str">
            <v>Triticale - prices per 100 kg</v>
          </cell>
          <cell r="W17" t="str">
            <v>Triticale - prices per 100 kg</v>
          </cell>
          <cell r="X17" t="str">
            <v>Triticale - prices per 100 kg</v>
          </cell>
        </row>
        <row r="18">
          <cell r="A18" t="str">
            <v>01600000</v>
          </cell>
          <cell r="B18">
            <v>1217</v>
          </cell>
          <cell r="C18" t="str">
            <v>u2</v>
          </cell>
          <cell r="D18" t="str">
            <v>g41</v>
          </cell>
          <cell r="E18" t="str">
            <v>Rice - prices per 100 kg</v>
          </cell>
          <cell r="F18" t="str">
            <v>Rice - prices per 100 kg</v>
          </cell>
          <cell r="G18" t="str">
            <v>Reis</v>
          </cell>
          <cell r="H18" t="str">
            <v>Rice - prices per 100 kg</v>
          </cell>
          <cell r="I18" t="str">
            <v>Rice - prices per 100 kg</v>
          </cell>
          <cell r="J18" t="str">
            <v>Rice - prices per 100 kg</v>
          </cell>
          <cell r="K18" t="str">
            <v>Rice - prices per 100 kg</v>
          </cell>
          <cell r="L18" t="str">
            <v>Rice - prices per 100 kg</v>
          </cell>
          <cell r="M18" t="str">
            <v>Riz</v>
          </cell>
          <cell r="N18" t="str">
            <v>Rice - prices per 100 kg</v>
          </cell>
          <cell r="O18" t="str">
            <v>Rice - prices per 100 kg</v>
          </cell>
          <cell r="P18" t="str">
            <v>Rice - prices per 100 kg</v>
          </cell>
          <cell r="Q18" t="str">
            <v>Rice - prices per 100 kg</v>
          </cell>
          <cell r="R18" t="str">
            <v>Rice - prices per 100 kg</v>
          </cell>
          <cell r="S18" t="str">
            <v>Rice - prices per 100 kg</v>
          </cell>
          <cell r="T18" t="str">
            <v>Rice - prices per 100 kg</v>
          </cell>
          <cell r="U18" t="str">
            <v>Rice - prices per 100 kg</v>
          </cell>
          <cell r="V18" t="str">
            <v>Rice - prices per 100 kg</v>
          </cell>
          <cell r="W18" t="str">
            <v>Rice - prices per 100 kg</v>
          </cell>
          <cell r="X18" t="str">
            <v>Rice - prices per 100 kg</v>
          </cell>
        </row>
        <row r="19">
          <cell r="A19" t="str">
            <v>02210000</v>
          </cell>
          <cell r="B19">
            <v>1430</v>
          </cell>
          <cell r="C19" t="str">
            <v>u2</v>
          </cell>
          <cell r="D19" t="str">
            <v>g35</v>
          </cell>
          <cell r="E19" t="str">
            <v>Dried peas - prices per 100 kg</v>
          </cell>
          <cell r="F19" t="str">
            <v>Dried peas - prices per 100 kg</v>
          </cell>
          <cell r="G19" t="str">
            <v>Speiseerbsen</v>
          </cell>
          <cell r="H19" t="str">
            <v>Dried peas - prices per 100 kg</v>
          </cell>
          <cell r="I19" t="str">
            <v>Dried peas - prices per 100 kg</v>
          </cell>
          <cell r="J19" t="str">
            <v>Dried peas - prices per 100 kg</v>
          </cell>
          <cell r="K19" t="str">
            <v>Dried peas - prices per 100 kg</v>
          </cell>
          <cell r="L19" t="str">
            <v>Dried peas - prices per 100 kg</v>
          </cell>
          <cell r="M19" t="str">
            <v>Pois secs</v>
          </cell>
          <cell r="N19" t="str">
            <v>Dried peas - prices per 100 kg</v>
          </cell>
          <cell r="O19" t="str">
            <v>Dried peas - prices per 100 kg</v>
          </cell>
          <cell r="P19" t="str">
            <v>Dried peas - prices per 100 kg</v>
          </cell>
          <cell r="Q19" t="str">
            <v>Dried peas - prices per 100 kg</v>
          </cell>
          <cell r="R19" t="str">
            <v>Dried peas - prices per 100 kg</v>
          </cell>
          <cell r="S19" t="str">
            <v>Dried peas - prices per 100 kg</v>
          </cell>
          <cell r="T19" t="str">
            <v>Dried peas - prices per 100 kg</v>
          </cell>
          <cell r="U19" t="str">
            <v>Dried peas - prices per 100 kg</v>
          </cell>
          <cell r="V19" t="str">
            <v>Dried peas - prices per 100 kg</v>
          </cell>
          <cell r="W19" t="str">
            <v>Dried peas - prices per 100 kg</v>
          </cell>
          <cell r="X19" t="str">
            <v>Dried peas - prices per 100 kg</v>
          </cell>
        </row>
        <row r="20">
          <cell r="A20" t="str">
            <v>02992000</v>
          </cell>
          <cell r="B20">
            <v>1450</v>
          </cell>
          <cell r="C20" t="str">
            <v>u2</v>
          </cell>
          <cell r="D20" t="str">
            <v>g35</v>
          </cell>
          <cell r="E20" t="str">
            <v>Chick peas - prices per 100 kg</v>
          </cell>
          <cell r="F20" t="str">
            <v>Chick peas - prices per 100 kg</v>
          </cell>
          <cell r="G20" t="str">
            <v>Kichererbsen</v>
          </cell>
          <cell r="H20" t="str">
            <v>Chick peas - prices per 100 kg</v>
          </cell>
          <cell r="I20" t="str">
            <v>Chick peas - prices per 100 kg</v>
          </cell>
          <cell r="J20" t="str">
            <v>Chick peas - prices per 100 kg</v>
          </cell>
          <cell r="K20" t="str">
            <v>Chick peas - prices per 100 kg</v>
          </cell>
          <cell r="L20" t="str">
            <v>Chick peas - prices per 100 kg</v>
          </cell>
          <cell r="M20" t="str">
            <v>Pois chiches</v>
          </cell>
          <cell r="N20" t="str">
            <v>Chick peas - prices per 100 kg</v>
          </cell>
          <cell r="O20" t="str">
            <v>Chick peas - prices per 100 kg</v>
          </cell>
          <cell r="P20" t="str">
            <v>Chick peas - prices per 100 kg</v>
          </cell>
          <cell r="Q20" t="str">
            <v>Chick peas - prices per 100 kg</v>
          </cell>
          <cell r="R20" t="str">
            <v>Chick peas - prices per 100 kg</v>
          </cell>
          <cell r="S20" t="str">
            <v>Chick peas - prices per 100 kg</v>
          </cell>
          <cell r="T20" t="str">
            <v>Chick peas - prices per 100 kg</v>
          </cell>
          <cell r="U20" t="str">
            <v>Chick peas - prices per 100 kg</v>
          </cell>
          <cell r="V20" t="str">
            <v>Chick peas - prices per 100 kg</v>
          </cell>
          <cell r="W20" t="str">
            <v>Chick peas - prices per 100 kg</v>
          </cell>
          <cell r="X20" t="str">
            <v>Chick peas - prices per 100 kg</v>
          </cell>
        </row>
        <row r="21">
          <cell r="A21" t="str">
            <v>02220000</v>
          </cell>
          <cell r="B21">
            <v>1470</v>
          </cell>
          <cell r="C21" t="str">
            <v>u2</v>
          </cell>
          <cell r="D21" t="str">
            <v>g35</v>
          </cell>
          <cell r="E21" t="str">
            <v>Dried beans - prices per 100 kg</v>
          </cell>
          <cell r="F21" t="str">
            <v>Dried beans - prices per 100 kg</v>
          </cell>
          <cell r="G21" t="str">
            <v>Speisebohnen</v>
          </cell>
          <cell r="H21" t="str">
            <v>Dried beans - prices per 100 kg</v>
          </cell>
          <cell r="I21" t="str">
            <v>Dried beans - prices per 100 kg</v>
          </cell>
          <cell r="J21" t="str">
            <v>Dried beans - prices per 100 kg</v>
          </cell>
          <cell r="K21" t="str">
            <v>Dried beans - prices per 100 kg</v>
          </cell>
          <cell r="L21" t="str">
            <v>Dried beans - prices per 100 kg</v>
          </cell>
          <cell r="M21" t="str">
            <v>Haricots secs</v>
          </cell>
          <cell r="N21" t="str">
            <v>Dried beans - prices per 100 kg</v>
          </cell>
          <cell r="O21" t="str">
            <v>Dried beans - prices per 100 kg</v>
          </cell>
          <cell r="P21" t="str">
            <v>Dried beans - prices per 100 kg</v>
          </cell>
          <cell r="Q21" t="str">
            <v>Dried beans - prices per 100 kg</v>
          </cell>
          <cell r="R21" t="str">
            <v>Dried beans - prices per 100 kg</v>
          </cell>
          <cell r="S21" t="str">
            <v>Dried beans - prices per 100 kg</v>
          </cell>
          <cell r="T21" t="str">
            <v>Dried beans - prices per 100 kg</v>
          </cell>
          <cell r="U21" t="str">
            <v>Dried beans - prices per 100 kg</v>
          </cell>
          <cell r="V21" t="str">
            <v>Dried beans - prices per 100 kg</v>
          </cell>
          <cell r="W21" t="str">
            <v>Dried beans - prices per 100 kg</v>
          </cell>
          <cell r="X21" t="str">
            <v>Dried beans - prices per 100 kg</v>
          </cell>
        </row>
        <row r="22">
          <cell r="A22" t="str">
            <v>02230000</v>
          </cell>
          <cell r="B22">
            <v>1314</v>
          </cell>
          <cell r="C22" t="str">
            <v>u2</v>
          </cell>
          <cell r="D22" t="str">
            <v>g64</v>
          </cell>
          <cell r="E22" t="str">
            <v>Broad beans (dry) - prices per 100 kg</v>
          </cell>
          <cell r="F22" t="str">
            <v>Broad beans (dry) - prices per 100 kg</v>
          </cell>
          <cell r="G22" t="str">
            <v>Puffbohnen (getrocknet)</v>
          </cell>
          <cell r="H22" t="str">
            <v>Broad beans (dry) - prices per 100 kg</v>
          </cell>
          <cell r="I22" t="str">
            <v>Broad beans (dry) - prices per 100 kg</v>
          </cell>
          <cell r="J22" t="str">
            <v>Broad beans (dry) - prices per 100 kg</v>
          </cell>
          <cell r="K22" t="str">
            <v>Broad beans (dry) - prices per 100 kg</v>
          </cell>
          <cell r="L22" t="str">
            <v>Broad beans (dry) - prices per 100 kg</v>
          </cell>
          <cell r="M22" t="str">
            <v>Fèves sèches</v>
          </cell>
          <cell r="N22" t="str">
            <v>Broad beans (dry) - prices per 100 kg</v>
          </cell>
          <cell r="O22" t="str">
            <v>Broad beans (dry) - prices per 100 kg</v>
          </cell>
          <cell r="P22" t="str">
            <v>Broad beans (dry) - prices per 100 kg</v>
          </cell>
          <cell r="Q22" t="str">
            <v>Broad beans (dry) - prices per 100 kg</v>
          </cell>
          <cell r="R22" t="str">
            <v>Broad beans (dry) - prices per 100 kg</v>
          </cell>
          <cell r="S22" t="str">
            <v>Broad beans (dry) - prices per 100 kg</v>
          </cell>
          <cell r="T22" t="str">
            <v>Broad beans (dry) - prices per 100 kg</v>
          </cell>
          <cell r="U22" t="str">
            <v>Broad beans (dry) - prices per 100 kg</v>
          </cell>
          <cell r="V22" t="str">
            <v>Broad beans (dry) - prices per 100 kg</v>
          </cell>
          <cell r="W22" t="str">
            <v>Broad beans (dry) - prices per 100 kg</v>
          </cell>
          <cell r="X22" t="str">
            <v>Broad beans (dry) - prices per 100 kg</v>
          </cell>
        </row>
        <row r="23">
          <cell r="A23" t="str">
            <v>02991000</v>
          </cell>
          <cell r="B23">
            <v>1331</v>
          </cell>
          <cell r="C23" t="str">
            <v>u2</v>
          </cell>
          <cell r="D23" t="str">
            <v>g64</v>
          </cell>
          <cell r="E23" t="str">
            <v>Lentils - prices per 100 kg</v>
          </cell>
          <cell r="F23" t="str">
            <v>Lentils - prices per 100 kg</v>
          </cell>
          <cell r="G23" t="str">
            <v>Linsen</v>
          </cell>
          <cell r="H23" t="str">
            <v>Lentils - prices per 100 kg</v>
          </cell>
          <cell r="I23" t="str">
            <v>Lentils - prices per 100 kg</v>
          </cell>
          <cell r="J23" t="str">
            <v>Lentils - prices per 100 kg</v>
          </cell>
          <cell r="K23" t="str">
            <v>Lentils - prices per 100 kg</v>
          </cell>
          <cell r="L23" t="str">
            <v>Lentils - prices per 100 kg</v>
          </cell>
          <cell r="M23" t="str">
            <v>Lentilles</v>
          </cell>
          <cell r="N23" t="str">
            <v>Lentils - prices per 100 kg</v>
          </cell>
          <cell r="O23" t="str">
            <v>Lentils - prices per 100 kg</v>
          </cell>
          <cell r="P23" t="str">
            <v>Lentils - prices per 100 kg</v>
          </cell>
          <cell r="Q23" t="str">
            <v>Lentils - prices per 100 kg</v>
          </cell>
          <cell r="R23" t="str">
            <v>Lentils - prices per 100 kg</v>
          </cell>
          <cell r="S23" t="str">
            <v>Lentils - prices per 100 kg</v>
          </cell>
          <cell r="T23" t="str">
            <v>Lentils - prices per 100 kg</v>
          </cell>
          <cell r="U23" t="str">
            <v>Lentils - prices per 100 kg</v>
          </cell>
          <cell r="V23" t="str">
            <v>Lentils - prices per 100 kg</v>
          </cell>
          <cell r="W23" t="str">
            <v>Lentils - prices per 100 kg</v>
          </cell>
          <cell r="X23" t="str">
            <v>Lentils - prices per 100 kg</v>
          </cell>
        </row>
        <row r="24">
          <cell r="A24" t="str">
            <v>05120000</v>
          </cell>
          <cell r="B24">
            <v>1338</v>
          </cell>
          <cell r="C24" t="str">
            <v>u2</v>
          </cell>
          <cell r="D24" t="str">
            <v>g64</v>
          </cell>
          <cell r="E24" t="str">
            <v>Main crop potatoes - prices per 100 kg</v>
          </cell>
          <cell r="F24" t="str">
            <v>Main crop potatoes - prices per 100 kg</v>
          </cell>
          <cell r="G24" t="str">
            <v>Speisekartoffeln (Erdäpfel)</v>
          </cell>
          <cell r="H24" t="str">
            <v>Main crop potatoes - prices per 100 kg</v>
          </cell>
          <cell r="I24" t="str">
            <v>Main crop potatoes - prices per 100 kg</v>
          </cell>
          <cell r="J24" t="str">
            <v>Main crop potatoes - prices per 100 kg</v>
          </cell>
          <cell r="K24" t="str">
            <v>Main crop potatoes - prices per 100 kg</v>
          </cell>
          <cell r="L24" t="str">
            <v>Main crop potatoes - prices per 100 kg</v>
          </cell>
          <cell r="M24" t="str">
            <v>Pommes de terre de consommation</v>
          </cell>
          <cell r="N24" t="str">
            <v>Main crop potatoes - prices per 100 kg</v>
          </cell>
          <cell r="O24" t="str">
            <v>Main crop potatoes - prices per 100 kg</v>
          </cell>
          <cell r="P24" t="str">
            <v>Main crop potatoes - prices per 100 kg</v>
          </cell>
          <cell r="Q24" t="str">
            <v>Main crop potatoes - prices per 100 kg</v>
          </cell>
          <cell r="R24" t="str">
            <v>Main crop potatoes - prices per 100 kg</v>
          </cell>
          <cell r="S24" t="str">
            <v>Main crop potatoes - prices per 100 kg</v>
          </cell>
          <cell r="T24" t="str">
            <v>Main crop potatoes - prices per 100 kg</v>
          </cell>
          <cell r="U24" t="str">
            <v>Main crop potatoes - prices per 100 kg</v>
          </cell>
          <cell r="V24" t="str">
            <v>Main crop potatoes - prices per 100 kg</v>
          </cell>
          <cell r="W24" t="str">
            <v>Main crop potatoes - prices per 100 kg</v>
          </cell>
          <cell r="X24" t="str">
            <v>Main crop potatoes - prices per 100 kg</v>
          </cell>
        </row>
        <row r="25">
          <cell r="A25" t="str">
            <v>05110000</v>
          </cell>
          <cell r="B25">
            <v>1551</v>
          </cell>
          <cell r="C25" t="str">
            <v>u2</v>
          </cell>
          <cell r="D25" t="str">
            <v>g66</v>
          </cell>
          <cell r="E25" t="str">
            <v>Early potatoes - prices per 100 kg</v>
          </cell>
          <cell r="F25" t="str">
            <v>Early potatoes - prices per 100 kg</v>
          </cell>
          <cell r="G25" t="str">
            <v>Frühkartoffeln (Erdäpfel)</v>
          </cell>
          <cell r="H25" t="str">
            <v>Early potatoes - prices per 100 kg</v>
          </cell>
          <cell r="I25" t="str">
            <v>Early potatoes - prices per 100 kg</v>
          </cell>
          <cell r="J25" t="str">
            <v>Early potatoes - prices per 100 kg</v>
          </cell>
          <cell r="K25" t="str">
            <v>Early potatoes - prices per 100 kg</v>
          </cell>
          <cell r="L25" t="str">
            <v>Early potatoes - prices per 100 kg</v>
          </cell>
          <cell r="M25" t="str">
            <v>Pommes de terre hâtives</v>
          </cell>
          <cell r="N25" t="str">
            <v>Early potatoes - prices per 100 kg</v>
          </cell>
          <cell r="O25" t="str">
            <v>Early potatoes - prices per 100 kg</v>
          </cell>
          <cell r="P25" t="str">
            <v>Early potatoes - prices per 100 kg</v>
          </cell>
          <cell r="Q25" t="str">
            <v>Early potatoes - prices per 100 kg</v>
          </cell>
          <cell r="R25" t="str">
            <v>Early potatoes - prices per 100 kg</v>
          </cell>
          <cell r="S25" t="str">
            <v>Early potatoes - prices per 100 kg</v>
          </cell>
          <cell r="T25" t="str">
            <v>Early potatoes - prices per 100 kg</v>
          </cell>
          <cell r="U25" t="str">
            <v>Early potatoes - prices per 100 kg</v>
          </cell>
          <cell r="V25" t="str">
            <v>Early potatoes - prices per 100 kg</v>
          </cell>
          <cell r="W25" t="str">
            <v>Early potatoes - prices per 100 kg</v>
          </cell>
          <cell r="X25" t="str">
            <v>Early potatoes - prices per 100 kg</v>
          </cell>
        </row>
        <row r="26">
          <cell r="A26" t="str">
            <v>05200000</v>
          </cell>
          <cell r="B26">
            <v>1371</v>
          </cell>
          <cell r="C26" t="str">
            <v>u8</v>
          </cell>
          <cell r="D26" t="str">
            <v>g49</v>
          </cell>
          <cell r="E26" t="str">
            <v>Seed potatoes</v>
          </cell>
          <cell r="F26" t="str">
            <v>Seed potatoes</v>
          </cell>
          <cell r="G26" t="str">
            <v>Saatkartoffeln</v>
          </cell>
          <cell r="H26" t="str">
            <v>Seed potatoes</v>
          </cell>
          <cell r="I26" t="str">
            <v>Seed potatoes</v>
          </cell>
          <cell r="J26" t="str">
            <v>Seed potatoes</v>
          </cell>
          <cell r="K26" t="str">
            <v>Seed potatoes</v>
          </cell>
          <cell r="L26" t="str">
            <v>Seed potatoes</v>
          </cell>
          <cell r="M26" t="str">
            <v>Plants de pomme de terre</v>
          </cell>
          <cell r="N26" t="str">
            <v>Seed potatoes</v>
          </cell>
          <cell r="O26" t="str">
            <v>Seed potatoes</v>
          </cell>
          <cell r="P26" t="str">
            <v>Seed potatoes</v>
          </cell>
          <cell r="Q26" t="str">
            <v>Seed potatoes</v>
          </cell>
          <cell r="R26" t="str">
            <v>Seed potatoes</v>
          </cell>
          <cell r="S26" t="str">
            <v>Seed potatoes</v>
          </cell>
          <cell r="T26" t="str">
            <v>Seed potatoes</v>
          </cell>
          <cell r="U26" t="str">
            <v>Seed potatoes</v>
          </cell>
          <cell r="V26" t="str">
            <v>Seed potatoes</v>
          </cell>
          <cell r="W26" t="str">
            <v>Seed potatoes</v>
          </cell>
          <cell r="X26" t="str">
            <v>Seed potatoes</v>
          </cell>
        </row>
        <row r="27">
          <cell r="A27" t="str">
            <v>05900000</v>
          </cell>
          <cell r="B27">
            <v>1490</v>
          </cell>
          <cell r="C27" t="str">
            <v>u2</v>
          </cell>
          <cell r="D27" t="str">
            <v>g49</v>
          </cell>
          <cell r="E27" t="str">
            <v>Other potatoes</v>
          </cell>
          <cell r="F27" t="str">
            <v>Other potatoes</v>
          </cell>
          <cell r="G27" t="str">
            <v>Andere Kartoffeln</v>
          </cell>
          <cell r="H27" t="str">
            <v>Other potatoes</v>
          </cell>
          <cell r="I27" t="str">
            <v>Other potatoes</v>
          </cell>
          <cell r="J27" t="str">
            <v>Other potatoes</v>
          </cell>
          <cell r="K27" t="str">
            <v>Other potatoes</v>
          </cell>
          <cell r="L27" t="str">
            <v>Other potatoes</v>
          </cell>
          <cell r="M27" t="str">
            <v>Autres pommes de terre</v>
          </cell>
          <cell r="N27" t="str">
            <v>Other potatoes</v>
          </cell>
          <cell r="O27" t="str">
            <v>Other potatoes</v>
          </cell>
          <cell r="P27" t="str">
            <v>Other potatoes</v>
          </cell>
          <cell r="Q27" t="str">
            <v>Other potatoes</v>
          </cell>
          <cell r="R27" t="str">
            <v>Other potatoes</v>
          </cell>
          <cell r="S27" t="str">
            <v>Other potatoes</v>
          </cell>
          <cell r="T27" t="str">
            <v>Other potatoes</v>
          </cell>
          <cell r="U27" t="str">
            <v>Other potatoes</v>
          </cell>
          <cell r="V27" t="str">
            <v>Other potatoes</v>
          </cell>
          <cell r="W27" t="str">
            <v>Other potatoes</v>
          </cell>
          <cell r="X27" t="str">
            <v>Other potatoes</v>
          </cell>
        </row>
        <row r="28">
          <cell r="A28" t="str">
            <v>02400000</v>
          </cell>
          <cell r="B28">
            <v>1561</v>
          </cell>
          <cell r="C28" t="str">
            <v>u2</v>
          </cell>
          <cell r="D28" t="str">
            <v>g49</v>
          </cell>
          <cell r="E28" t="str">
            <v>Sugar beet: unit value - prices per 1000 kg</v>
          </cell>
          <cell r="F28" t="str">
            <v>Sugar beet: unit value - prices per 1000 kg</v>
          </cell>
          <cell r="G28" t="str">
            <v>Zuckerrüben: Durchschnittserlös</v>
          </cell>
          <cell r="H28" t="str">
            <v>Sugar beet: unit value - prices per 1000 kg</v>
          </cell>
          <cell r="I28" t="str">
            <v>Sugar beet: unit value - prices per 1000 kg</v>
          </cell>
          <cell r="J28" t="str">
            <v>Sugar beet: unit value - prices per 1000 kg</v>
          </cell>
          <cell r="K28" t="str">
            <v>Sugar beet: unit value - prices per 1000 kg</v>
          </cell>
          <cell r="L28" t="str">
            <v>Sugar beet: unit value - prices per 1000 kg</v>
          </cell>
          <cell r="M28" t="str">
            <v>Betteraves sucrières: valeur unitaire</v>
          </cell>
          <cell r="N28" t="str">
            <v>Sugar beet: unit value - prices per 1000 kg</v>
          </cell>
          <cell r="O28" t="str">
            <v>Sugar beet: unit value - prices per 1000 kg</v>
          </cell>
          <cell r="P28" t="str">
            <v>Sugar beet: unit value - prices per 1000 kg</v>
          </cell>
          <cell r="Q28" t="str">
            <v>Sugar beet: unit value - prices per 1000 kg</v>
          </cell>
          <cell r="R28" t="str">
            <v>Sugar beet: unit value - prices per 1000 kg</v>
          </cell>
          <cell r="S28" t="str">
            <v>Sugar beet: unit value - prices per 1000 kg</v>
          </cell>
          <cell r="T28" t="str">
            <v>Sugar beet: unit value - prices per 1000 kg</v>
          </cell>
          <cell r="U28" t="str">
            <v>Sugar beet: unit value - prices per 1000 kg</v>
          </cell>
          <cell r="V28" t="str">
            <v>Sugar beet: unit value - prices per 1000 kg</v>
          </cell>
          <cell r="W28" t="str">
            <v>Sugar beet: unit value - prices per 1000 kg</v>
          </cell>
          <cell r="X28" t="str">
            <v>Sugar beet: unit value - prices per 1000 kg</v>
          </cell>
        </row>
        <row r="29">
          <cell r="A29" t="str">
            <v>02110000</v>
          </cell>
          <cell r="B29">
            <v>1341</v>
          </cell>
          <cell r="C29" t="str">
            <v>u2</v>
          </cell>
          <cell r="D29" t="str">
            <v>g50</v>
          </cell>
          <cell r="E29" t="str">
            <v>Rape - prices per 100 kg</v>
          </cell>
          <cell r="F29" t="str">
            <v>Rape - prices per 100 kg</v>
          </cell>
          <cell r="G29" t="str">
            <v>Raps</v>
          </cell>
          <cell r="H29" t="str">
            <v>Rape - prices per 100 kg</v>
          </cell>
          <cell r="I29" t="str">
            <v>Rape - prices per 100 kg</v>
          </cell>
          <cell r="J29" t="str">
            <v>Rape - prices per 100 kg</v>
          </cell>
          <cell r="K29" t="str">
            <v>Rape - prices per 100 kg</v>
          </cell>
          <cell r="L29" t="str">
            <v>Rape - prices per 100 kg</v>
          </cell>
          <cell r="M29" t="str">
            <v>Colza</v>
          </cell>
          <cell r="N29" t="str">
            <v>Rape - prices per 100 kg</v>
          </cell>
          <cell r="O29" t="str">
            <v>Rape - prices per 100 kg</v>
          </cell>
          <cell r="P29" t="str">
            <v>Rape - prices per 100 kg</v>
          </cell>
          <cell r="Q29" t="str">
            <v>Rape - prices per 100 kg</v>
          </cell>
          <cell r="R29" t="str">
            <v>Rape - prices per 100 kg</v>
          </cell>
          <cell r="S29" t="str">
            <v>Rape - prices per 100 kg</v>
          </cell>
          <cell r="T29" t="str">
            <v>Rape - prices per 100 kg</v>
          </cell>
          <cell r="U29" t="str">
            <v>Rape - prices per 100 kg</v>
          </cell>
          <cell r="V29" t="str">
            <v>Rape - prices per 100 kg</v>
          </cell>
          <cell r="W29" t="str">
            <v>Rape - prices per 100 kg</v>
          </cell>
          <cell r="X29" t="str">
            <v>Rape - prices per 100 kg</v>
          </cell>
        </row>
        <row r="30">
          <cell r="A30" t="str">
            <v>02120000</v>
          </cell>
          <cell r="B30">
            <v>1316</v>
          </cell>
          <cell r="C30" t="str">
            <v>u2</v>
          </cell>
          <cell r="D30" t="str">
            <v>g50</v>
          </cell>
          <cell r="E30" t="str">
            <v>Sunflowers - prices per 100 kg</v>
          </cell>
          <cell r="F30" t="str">
            <v>Sunflowers - prices per 100 kg</v>
          </cell>
          <cell r="G30" t="str">
            <v>Sonnenblumen</v>
          </cell>
          <cell r="H30" t="str">
            <v>Sunflowers - prices per 100 kg</v>
          </cell>
          <cell r="I30" t="str">
            <v>Sunflowers - prices per 100 kg</v>
          </cell>
          <cell r="J30" t="str">
            <v>Sunflowers - prices per 100 kg</v>
          </cell>
          <cell r="K30" t="str">
            <v>Sunflowers - prices per 100 kg</v>
          </cell>
          <cell r="L30" t="str">
            <v>Sunflowers - prices per 100 kg</v>
          </cell>
          <cell r="M30" t="str">
            <v>Tournesols</v>
          </cell>
          <cell r="N30" t="str">
            <v>Sunflowers - prices per 100 kg</v>
          </cell>
          <cell r="O30" t="str">
            <v>Sunflowers - prices per 100 kg</v>
          </cell>
          <cell r="P30" t="str">
            <v>Sunflowers - prices per 100 kg</v>
          </cell>
          <cell r="Q30" t="str">
            <v>Sunflowers - prices per 100 kg</v>
          </cell>
          <cell r="R30" t="str">
            <v>Sunflowers - prices per 100 kg</v>
          </cell>
          <cell r="S30" t="str">
            <v>Sunflowers - prices per 100 kg</v>
          </cell>
          <cell r="T30" t="str">
            <v>Sunflowers - prices per 100 kg</v>
          </cell>
          <cell r="U30" t="str">
            <v>Sunflowers - prices per 100 kg</v>
          </cell>
          <cell r="V30" t="str">
            <v>Sunflowers - prices per 100 kg</v>
          </cell>
          <cell r="W30" t="str">
            <v>Sunflowers - prices per 100 kg</v>
          </cell>
          <cell r="X30" t="str">
            <v>Sunflowers - prices per 100 kg</v>
          </cell>
        </row>
        <row r="31">
          <cell r="A31" t="str">
            <v>02130000</v>
          </cell>
          <cell r="B31">
            <v>1621</v>
          </cell>
          <cell r="C31" t="str">
            <v>u2</v>
          </cell>
          <cell r="D31" t="str">
            <v>g23</v>
          </cell>
          <cell r="E31" t="str">
            <v>Soya - prices per 100 kg</v>
          </cell>
          <cell r="F31" t="str">
            <v>Soya - prices per 100 kg</v>
          </cell>
          <cell r="G31" t="str">
            <v>Soya</v>
          </cell>
          <cell r="H31" t="str">
            <v>Soya - prices per 100 kg</v>
          </cell>
          <cell r="I31" t="str">
            <v>Soya - prices per 100 kg</v>
          </cell>
          <cell r="J31" t="str">
            <v>Soya - prices per 100 kg</v>
          </cell>
          <cell r="K31" t="str">
            <v>Soya - prices per 100 kg</v>
          </cell>
          <cell r="L31" t="str">
            <v>Soya - prices per 100 kg</v>
          </cell>
          <cell r="M31" t="str">
            <v>Soja</v>
          </cell>
          <cell r="N31" t="str">
            <v>Soya - prices per 100 kg</v>
          </cell>
          <cell r="O31" t="str">
            <v>Soya - prices per 100 kg</v>
          </cell>
          <cell r="P31" t="str">
            <v>Soya - prices per 100 kg</v>
          </cell>
          <cell r="Q31" t="str">
            <v>Soya - prices per 100 kg</v>
          </cell>
          <cell r="R31" t="str">
            <v>Soya - prices per 100 kg</v>
          </cell>
          <cell r="S31" t="str">
            <v>Soya - prices per 100 kg</v>
          </cell>
          <cell r="T31" t="str">
            <v>Soya - prices per 100 kg</v>
          </cell>
          <cell r="U31" t="str">
            <v>Soya - prices per 100 kg</v>
          </cell>
          <cell r="V31" t="str">
            <v>Soya - prices per 100 kg</v>
          </cell>
          <cell r="W31" t="str">
            <v>Soya - prices per 100 kg</v>
          </cell>
          <cell r="X31" t="str">
            <v>Soya - prices per 100 kg</v>
          </cell>
        </row>
        <row r="32">
          <cell r="A32" t="str">
            <v>02911000</v>
          </cell>
          <cell r="B32">
            <v>1751</v>
          </cell>
          <cell r="C32" t="str">
            <v>u2</v>
          </cell>
          <cell r="D32" t="str">
            <v>g23</v>
          </cell>
          <cell r="E32" t="str">
            <v>Cotton (including seed) - prices per 100 kg</v>
          </cell>
          <cell r="F32" t="str">
            <v>Cotton (including seed) - prices per 100 kg</v>
          </cell>
          <cell r="G32" t="str">
            <v>Baumwolle (einschl. Saat)</v>
          </cell>
          <cell r="H32" t="str">
            <v>Cotton (including seed) - prices per 100 kg</v>
          </cell>
          <cell r="I32" t="str">
            <v>Cotton (including seed) - prices per 100 kg</v>
          </cell>
          <cell r="J32" t="str">
            <v>Cotton (including seed) - prices per 100 kg</v>
          </cell>
          <cell r="K32" t="str">
            <v>Cotton (including seed) - prices per 100 kg</v>
          </cell>
          <cell r="L32" t="str">
            <v>Cotton (including seed) - prices per 100 kg</v>
          </cell>
          <cell r="M32" t="str">
            <v>Coton non égréné</v>
          </cell>
          <cell r="N32" t="str">
            <v>Cotton (including seed) - prices per 100 kg</v>
          </cell>
          <cell r="O32" t="str">
            <v>Cotton (including seed) - prices per 100 kg</v>
          </cell>
          <cell r="P32" t="str">
            <v>Cotton (including seed) - prices per 100 kg</v>
          </cell>
          <cell r="Q32" t="str">
            <v>Cotton (including seed) - prices per 100 kg</v>
          </cell>
          <cell r="R32" t="str">
            <v>Cotton (including seed) - prices per 100 kg</v>
          </cell>
          <cell r="S32" t="str">
            <v>Cotton (including seed) - prices per 100 kg</v>
          </cell>
          <cell r="T32" t="str">
            <v>Cotton (including seed) - prices per 100 kg</v>
          </cell>
          <cell r="U32" t="str">
            <v>Cotton (including seed) - prices per 100 kg</v>
          </cell>
          <cell r="V32" t="str">
            <v>Cotton (including seed) - prices per 100 kg</v>
          </cell>
          <cell r="W32" t="str">
            <v>Cotton (including seed) - prices per 100 kg</v>
          </cell>
          <cell r="X32" t="str">
            <v>Cotton (including seed) - prices per 100 kg</v>
          </cell>
        </row>
        <row r="33">
          <cell r="A33" t="str">
            <v>02300000</v>
          </cell>
          <cell r="B33">
            <v>1754</v>
          </cell>
          <cell r="C33" t="str">
            <v>u2</v>
          </cell>
          <cell r="D33" t="str">
            <v>g23</v>
          </cell>
          <cell r="E33" t="str">
            <v>Raw tobacco: all varieties - prices per 100 kg</v>
          </cell>
          <cell r="F33" t="str">
            <v>Raw tobacco: all varieties - prices per 100 kg</v>
          </cell>
          <cell r="G33" t="str">
            <v>Rohtabak: alle Sorten</v>
          </cell>
          <cell r="H33" t="str">
            <v>Raw tobacco: all varieties - prices per 100 kg</v>
          </cell>
          <cell r="I33" t="str">
            <v>Raw tobacco: all varieties - prices per 100 kg</v>
          </cell>
          <cell r="J33" t="str">
            <v>Raw tobacco: all varieties - prices per 100 kg</v>
          </cell>
          <cell r="K33" t="str">
            <v>Raw tobacco: all varieties - prices per 100 kg</v>
          </cell>
          <cell r="L33" t="str">
            <v>Raw tobacco: all varieties - prices per 100 kg</v>
          </cell>
          <cell r="M33" t="str">
            <v>Tabac brut: toutes qualités</v>
          </cell>
          <cell r="N33" t="str">
            <v>Raw tobacco: all varieties - prices per 100 kg</v>
          </cell>
          <cell r="O33" t="str">
            <v>Raw tobacco: all varieties - prices per 100 kg</v>
          </cell>
          <cell r="P33" t="str">
            <v>Raw tobacco: all varieties - prices per 100 kg</v>
          </cell>
          <cell r="Q33" t="str">
            <v>Raw tobacco: all varieties - prices per 100 kg</v>
          </cell>
          <cell r="R33" t="str">
            <v>Raw tobacco: all varieties - prices per 100 kg</v>
          </cell>
          <cell r="S33" t="str">
            <v>Raw tobacco: all varieties - prices per 100 kg</v>
          </cell>
          <cell r="T33" t="str">
            <v>Raw tobacco: all varieties - prices per 100 kg</v>
          </cell>
          <cell r="U33" t="str">
            <v>Raw tobacco: all varieties - prices per 100 kg</v>
          </cell>
          <cell r="V33" t="str">
            <v>Raw tobacco: all varieties - prices per 100 kg</v>
          </cell>
          <cell r="W33" t="str">
            <v>Raw tobacco: all varieties - prices per 100 kg</v>
          </cell>
          <cell r="X33" t="str">
            <v>Raw tobacco: all varieties - prices per 100 kg</v>
          </cell>
        </row>
        <row r="34">
          <cell r="A34" t="str">
            <v>02920000</v>
          </cell>
          <cell r="B34">
            <v>1636</v>
          </cell>
          <cell r="C34" t="str">
            <v>u2</v>
          </cell>
          <cell r="D34" t="str">
            <v>g47</v>
          </cell>
          <cell r="E34" t="str">
            <v>Hops : all varieties - prices per 100 kg</v>
          </cell>
          <cell r="F34" t="str">
            <v>Hops : all varieties - prices per 100 kg</v>
          </cell>
          <cell r="G34" t="str">
            <v>Hopfen: alle Sorten</v>
          </cell>
          <cell r="H34" t="str">
            <v>Hops : all varieties - prices per 100 kg</v>
          </cell>
          <cell r="I34" t="str">
            <v>Hops : all varieties - prices per 100 kg</v>
          </cell>
          <cell r="J34" t="str">
            <v>Hops : all varieties - prices per 100 kg</v>
          </cell>
          <cell r="K34" t="str">
            <v>Hops : all varieties - prices per 100 kg</v>
          </cell>
          <cell r="L34" t="str">
            <v>Hops : all varieties - prices per 100 kg</v>
          </cell>
          <cell r="M34" t="str">
            <v>Houblon: toutes qualités</v>
          </cell>
          <cell r="N34" t="str">
            <v>Hops : all varieties - prices per 100 kg</v>
          </cell>
          <cell r="O34" t="str">
            <v>Hops : all varieties - prices per 100 kg</v>
          </cell>
          <cell r="P34" t="str">
            <v>Hops : all varieties - prices per 100 kg</v>
          </cell>
          <cell r="Q34" t="str">
            <v>Hops : all varieties - prices per 100 kg</v>
          </cell>
          <cell r="R34" t="str">
            <v>Hops : all varieties - prices per 100 kg</v>
          </cell>
          <cell r="S34" t="str">
            <v>Hops : all varieties - prices per 100 kg</v>
          </cell>
          <cell r="T34" t="str">
            <v>Hops : all varieties - prices per 100 kg</v>
          </cell>
          <cell r="U34" t="str">
            <v>Hops : all varieties - prices per 100 kg</v>
          </cell>
          <cell r="V34" t="str">
            <v>Hops : all varieties - prices per 100 kg</v>
          </cell>
          <cell r="W34" t="str">
            <v>Hops : all varieties - prices per 100 kg</v>
          </cell>
          <cell r="X34" t="str">
            <v>Hops : all varieties - prices per 100 kg</v>
          </cell>
        </row>
        <row r="35">
          <cell r="A35" t="str">
            <v>04110000</v>
          </cell>
          <cell r="B35">
            <v>1641</v>
          </cell>
          <cell r="C35" t="str">
            <v>u2</v>
          </cell>
          <cell r="D35" t="str">
            <v>g47</v>
          </cell>
          <cell r="E35" t="str">
            <v>Cauliflowers: all qualities - prices per 100 kg</v>
          </cell>
          <cell r="F35" t="str">
            <v>Cauliflowers: all qualities - prices per 100 kg</v>
          </cell>
          <cell r="G35" t="str">
            <v>Blumenkohl (Karfiol): alle Qualitäten</v>
          </cell>
          <cell r="H35" t="str">
            <v>Cauliflowers: all qualities - prices per 100 kg</v>
          </cell>
          <cell r="I35" t="str">
            <v>Cauliflowers: all qualities - prices per 100 kg</v>
          </cell>
          <cell r="J35" t="str">
            <v>Cauliflowers: all qualities - prices per 100 kg</v>
          </cell>
          <cell r="K35" t="str">
            <v>Cauliflowers: all qualities - prices per 100 kg</v>
          </cell>
          <cell r="L35" t="str">
            <v>Cauliflowers: all qualities - prices per 100 kg</v>
          </cell>
          <cell r="M35" t="str">
            <v>Choux-fleurs: toutes qualités</v>
          </cell>
          <cell r="N35" t="str">
            <v>Cauliflowers: all qualities - prices per 100 kg</v>
          </cell>
          <cell r="O35" t="str">
            <v>Cauliflowers: all qualities - prices per 100 kg</v>
          </cell>
          <cell r="P35" t="str">
            <v>Cauliflowers: all qualities - prices per 100 kg</v>
          </cell>
          <cell r="Q35" t="str">
            <v>Cauliflowers: all qualities - prices per 100 kg</v>
          </cell>
          <cell r="R35" t="str">
            <v>Cauliflowers: all qualities - prices per 100 kg</v>
          </cell>
          <cell r="S35" t="str">
            <v>Cauliflowers: all qualities - prices per 100 kg</v>
          </cell>
          <cell r="T35" t="str">
            <v>Cauliflowers: all qualities - prices per 100 kg</v>
          </cell>
          <cell r="U35" t="str">
            <v>Cauliflowers: all qualities - prices per 100 kg</v>
          </cell>
          <cell r="V35" t="str">
            <v>Cauliflowers: all qualities - prices per 100 kg</v>
          </cell>
          <cell r="W35" t="str">
            <v>Cauliflowers: all qualities - prices per 100 kg</v>
          </cell>
          <cell r="X35" t="str">
            <v>Cauliflowers: all qualities - prices per 100 kg</v>
          </cell>
        </row>
        <row r="36">
          <cell r="A36" t="str">
            <v>04199909</v>
          </cell>
          <cell r="B36">
            <v>1646</v>
          </cell>
          <cell r="C36" t="str">
            <v>u2</v>
          </cell>
          <cell r="D36" t="str">
            <v>g47</v>
          </cell>
          <cell r="E36" t="str">
            <v>Brussels sprouts: all qualities - prices per 100 kg</v>
          </cell>
          <cell r="F36" t="str">
            <v>Brussels sprouts: all qualities - prices per 100 kg</v>
          </cell>
          <cell r="G36" t="str">
            <v>Rosenkohl (Kohlsprossen): alle Qualitäten</v>
          </cell>
          <cell r="H36" t="str">
            <v>Brussels sprouts: all qualities - prices per 100 kg</v>
          </cell>
          <cell r="I36" t="str">
            <v>Brussels sprouts: all qualities - prices per 100 kg</v>
          </cell>
          <cell r="J36" t="str">
            <v>Brussels sprouts: all qualities - prices per 100 kg</v>
          </cell>
          <cell r="K36" t="str">
            <v>Brussels sprouts: all qualities - prices per 100 kg</v>
          </cell>
          <cell r="L36" t="str">
            <v>Brussels sprouts: all qualities - prices per 100 kg</v>
          </cell>
          <cell r="M36" t="str">
            <v>Choux de Bruxelles: toutes qualités</v>
          </cell>
          <cell r="N36" t="str">
            <v>Brussels sprouts: all qualities - prices per 100 kg</v>
          </cell>
          <cell r="O36" t="str">
            <v>Brussels sprouts: all qualities - prices per 100 kg</v>
          </cell>
          <cell r="P36" t="str">
            <v>Brussels sprouts: all qualities - prices per 100 kg</v>
          </cell>
          <cell r="Q36" t="str">
            <v>Brussels sprouts: all qualities - prices per 100 kg</v>
          </cell>
          <cell r="R36" t="str">
            <v>Brussels sprouts: all qualities - prices per 100 kg</v>
          </cell>
          <cell r="S36" t="str">
            <v>Brussels sprouts: all qualities - prices per 100 kg</v>
          </cell>
          <cell r="T36" t="str">
            <v>Brussels sprouts: all qualities - prices per 100 kg</v>
          </cell>
          <cell r="U36" t="str">
            <v>Brussels sprouts: all qualities - prices per 100 kg</v>
          </cell>
          <cell r="V36" t="str">
            <v>Brussels sprouts: all qualities - prices per 100 kg</v>
          </cell>
          <cell r="W36" t="str">
            <v>Brussels sprouts: all qualities - prices per 100 kg</v>
          </cell>
          <cell r="X36" t="str">
            <v>Brussels sprouts: all qualities - prices per 100 kg</v>
          </cell>
        </row>
        <row r="37">
          <cell r="A37" t="str">
            <v>04191100</v>
          </cell>
          <cell r="B37">
            <v>1681</v>
          </cell>
          <cell r="C37" t="str">
            <v>u2</v>
          </cell>
          <cell r="D37" t="str">
            <v>g47</v>
          </cell>
          <cell r="E37" t="str">
            <v>White cabbage: all qualities - prices per 100 kg</v>
          </cell>
          <cell r="F37" t="str">
            <v>White cabbage: all qualities - prices per 100 kg</v>
          </cell>
          <cell r="G37" t="str">
            <v>Weisskohl (Weisskraut): alle Qualitäten</v>
          </cell>
          <cell r="H37" t="str">
            <v>White cabbage: all qualities - prices per 100 kg</v>
          </cell>
          <cell r="I37" t="str">
            <v>White cabbage: all qualities - prices per 100 kg</v>
          </cell>
          <cell r="J37" t="str">
            <v>White cabbage: all qualities - prices per 100 kg</v>
          </cell>
          <cell r="K37" t="str">
            <v>White cabbage: all qualities - prices per 100 kg</v>
          </cell>
          <cell r="L37" t="str">
            <v>White cabbage: all qualities - prices per 100 kg</v>
          </cell>
          <cell r="M37" t="str">
            <v>Choux blancs: toutes qualités</v>
          </cell>
          <cell r="N37" t="str">
            <v>White cabbage: all qualities - prices per 100 kg</v>
          </cell>
          <cell r="O37" t="str">
            <v>White cabbage: all qualities - prices per 100 kg</v>
          </cell>
          <cell r="P37" t="str">
            <v>White cabbage: all qualities - prices per 100 kg</v>
          </cell>
          <cell r="Q37" t="str">
            <v>White cabbage: all qualities - prices per 100 kg</v>
          </cell>
          <cell r="R37" t="str">
            <v>White cabbage: all qualities - prices per 100 kg</v>
          </cell>
          <cell r="S37" t="str">
            <v>White cabbage: all qualities - prices per 100 kg</v>
          </cell>
          <cell r="T37" t="str">
            <v>White cabbage: all qualities - prices per 100 kg</v>
          </cell>
          <cell r="U37" t="str">
            <v>White cabbage: all qualities - prices per 100 kg</v>
          </cell>
          <cell r="V37" t="str">
            <v>White cabbage: all qualities - prices per 100 kg</v>
          </cell>
          <cell r="W37" t="str">
            <v>White cabbage: all qualities - prices per 100 kg</v>
          </cell>
          <cell r="X37" t="str">
            <v>White cabbage: all qualities - prices per 100 kg</v>
          </cell>
        </row>
        <row r="38">
          <cell r="A38" t="str">
            <v>04191200</v>
          </cell>
          <cell r="B38">
            <v>1683</v>
          </cell>
          <cell r="C38" t="str">
            <v>u2</v>
          </cell>
          <cell r="D38" t="str">
            <v>g47</v>
          </cell>
          <cell r="E38" t="str">
            <v>Red cabbage: all qualities - prices per 100 kg</v>
          </cell>
          <cell r="F38" t="str">
            <v>Red cabbage: all qualities - prices per 100 kg</v>
          </cell>
          <cell r="G38" t="str">
            <v>Rotkohl (Rotkraut): alle Qualitäten</v>
          </cell>
          <cell r="H38" t="str">
            <v>Red cabbage: all qualities - prices per 100 kg</v>
          </cell>
          <cell r="I38" t="str">
            <v>Red cabbage: all qualities - prices per 100 kg</v>
          </cell>
          <cell r="J38" t="str">
            <v>Red cabbage: all qualities - prices per 100 kg</v>
          </cell>
          <cell r="K38" t="str">
            <v>Red cabbage: all qualities - prices per 100 kg</v>
          </cell>
          <cell r="L38" t="str">
            <v>Red cabbage: all qualities - prices per 100 kg</v>
          </cell>
          <cell r="M38" t="str">
            <v>Choux rouges: toutes qualités</v>
          </cell>
          <cell r="N38" t="str">
            <v>Red cabbage: all qualities - prices per 100 kg</v>
          </cell>
          <cell r="O38" t="str">
            <v>Red cabbage: all qualities - prices per 100 kg</v>
          </cell>
          <cell r="P38" t="str">
            <v>Red cabbage: all qualities - prices per 100 kg</v>
          </cell>
          <cell r="Q38" t="str">
            <v>Red cabbage: all qualities - prices per 100 kg</v>
          </cell>
          <cell r="R38" t="str">
            <v>Red cabbage: all qualities - prices per 100 kg</v>
          </cell>
          <cell r="S38" t="str">
            <v>Red cabbage: all qualities - prices per 100 kg</v>
          </cell>
          <cell r="T38" t="str">
            <v>Red cabbage: all qualities - prices per 100 kg</v>
          </cell>
          <cell r="U38" t="str">
            <v>Red cabbage: all qualities - prices per 100 kg</v>
          </cell>
          <cell r="V38" t="str">
            <v>Red cabbage: all qualities - prices per 100 kg</v>
          </cell>
          <cell r="W38" t="str">
            <v>Red cabbage: all qualities - prices per 100 kg</v>
          </cell>
          <cell r="X38" t="str">
            <v>Red cabbage: all qualities - prices per 100 kg</v>
          </cell>
        </row>
        <row r="39">
          <cell r="A39" t="str">
            <v>04191300</v>
          </cell>
          <cell r="B39">
            <v>1932</v>
          </cell>
          <cell r="C39" t="str">
            <v>u2</v>
          </cell>
          <cell r="D39" t="str">
            <v>g47</v>
          </cell>
          <cell r="E39" t="str">
            <v>Savoy cabbage: all qualities - prices per 100 kg</v>
          </cell>
          <cell r="F39" t="str">
            <v>Savoy cabbage: all qualities - prices per 100 kg</v>
          </cell>
          <cell r="G39" t="str">
            <v>Spinat</v>
          </cell>
          <cell r="H39" t="str">
            <v>Savoy cabbage: all qualities - prices per 100 kg</v>
          </cell>
          <cell r="I39" t="str">
            <v>Savoy cabbage: all qualities - prices per 100 kg</v>
          </cell>
          <cell r="J39" t="str">
            <v>Savoy cabbage: all qualities - prices per 100 kg</v>
          </cell>
          <cell r="K39" t="str">
            <v>Savoy cabbage: all qualities - prices per 100 kg</v>
          </cell>
          <cell r="L39" t="str">
            <v>Savoy cabbage: all qualities - prices per 100 kg</v>
          </cell>
          <cell r="M39" t="str">
            <v>Choux de Savoie: toutes qualités</v>
          </cell>
          <cell r="N39" t="str">
            <v>Savoy cabbage: all qualities - prices per 100 kg</v>
          </cell>
          <cell r="O39" t="str">
            <v>Savoy cabbage: all qualities - prices per 100 kg</v>
          </cell>
          <cell r="P39" t="str">
            <v>Savoy cabbage: all qualities - prices per 100 kg</v>
          </cell>
          <cell r="Q39" t="str">
            <v>Savoy cabbage: all qualities - prices per 100 kg</v>
          </cell>
          <cell r="R39" t="str">
            <v>Savoy cabbage: all qualities - prices per 100 kg</v>
          </cell>
          <cell r="S39" t="str">
            <v>Savoy cabbage: all qualities - prices per 100 kg</v>
          </cell>
          <cell r="T39" t="str">
            <v>Savoy cabbage: all qualities - prices per 100 kg</v>
          </cell>
          <cell r="U39" t="str">
            <v>Savoy cabbage: all qualities - prices per 100 kg</v>
          </cell>
          <cell r="V39" t="str">
            <v>Savoy cabbage: all qualities - prices per 100 kg</v>
          </cell>
          <cell r="W39" t="str">
            <v>Savoy cabbage: all qualities - prices per 100 kg</v>
          </cell>
          <cell r="X39" t="str">
            <v>Savoy cabbage: all qualities - prices per 100 kg</v>
          </cell>
        </row>
        <row r="40">
          <cell r="A40" t="str">
            <v>04199912</v>
          </cell>
          <cell r="B40">
            <v>1762</v>
          </cell>
          <cell r="C40" t="str">
            <v>u2</v>
          </cell>
          <cell r="D40" t="str">
            <v>g47</v>
          </cell>
          <cell r="E40" t="str">
            <v>Celeriac: all qualities - prices per 100 kg</v>
          </cell>
          <cell r="F40" t="str">
            <v>Celeriac: all qualities - prices per 100 kg</v>
          </cell>
          <cell r="G40" t="str">
            <v>Knollensellerie: alle Qualitäten</v>
          </cell>
          <cell r="H40" t="str">
            <v>Celeriac: all qualities - prices per 100 kg</v>
          </cell>
          <cell r="I40" t="str">
            <v>Celeriac: all qualities - prices per 100 kg</v>
          </cell>
          <cell r="J40" t="str">
            <v>Celeriac: all qualities - prices per 100 kg</v>
          </cell>
          <cell r="K40" t="str">
            <v>Celeriac: all qualities - prices per 100 kg</v>
          </cell>
          <cell r="L40" t="str">
            <v>Celeriac: all qualities - prices per 100 kg</v>
          </cell>
          <cell r="M40" t="str">
            <v>Céléris-raves: toutes qualités</v>
          </cell>
          <cell r="N40" t="str">
            <v>Celeriac: all qualities - prices per 100 kg</v>
          </cell>
          <cell r="O40" t="str">
            <v>Celeriac: all qualities - prices per 100 kg</v>
          </cell>
          <cell r="P40" t="str">
            <v>Celeriac: all qualities - prices per 100 kg</v>
          </cell>
          <cell r="Q40" t="str">
            <v>Celeriac: all qualities - prices per 100 kg</v>
          </cell>
          <cell r="R40" t="str">
            <v>Celeriac: all qualities - prices per 100 kg</v>
          </cell>
          <cell r="S40" t="str">
            <v>Celeriac: all qualities - prices per 100 kg</v>
          </cell>
          <cell r="T40" t="str">
            <v>Celeriac: all qualities - prices per 100 kg</v>
          </cell>
          <cell r="U40" t="str">
            <v>Celeriac: all qualities - prices per 100 kg</v>
          </cell>
          <cell r="V40" t="str">
            <v>Celeriac: all qualities - prices per 100 kg</v>
          </cell>
          <cell r="W40" t="str">
            <v>Celeriac: all qualities - prices per 100 kg</v>
          </cell>
          <cell r="X40" t="str">
            <v>Celeriac: all qualities - prices per 100 kg</v>
          </cell>
        </row>
        <row r="41">
          <cell r="A41" t="str">
            <v>04192100</v>
          </cell>
          <cell r="B41">
            <v>1764</v>
          </cell>
          <cell r="C41" t="str">
            <v>u2</v>
          </cell>
          <cell r="D41" t="str">
            <v>g47</v>
          </cell>
          <cell r="E41" t="str">
            <v>Lettuce in the open: all qualities - prices per 100 kg</v>
          </cell>
          <cell r="F41" t="str">
            <v>Lettuce in the open: all qualities - prices per 100 kg</v>
          </cell>
          <cell r="G41" t="str">
            <v>Kopfsalat (Freiland): alle Qualitäten</v>
          </cell>
          <cell r="H41" t="str">
            <v>Lettuce in the open: all qualities - prices per 100 kg</v>
          </cell>
          <cell r="I41" t="str">
            <v>Lettuce in the open: all qualities - prices per 100 kg</v>
          </cell>
          <cell r="J41" t="str">
            <v>Lettuce in the open: all qualities - prices per 100 kg</v>
          </cell>
          <cell r="K41" t="str">
            <v>Lettuce in the open: all qualities - prices per 100 kg</v>
          </cell>
          <cell r="L41" t="str">
            <v>Lettuce in the open: all qualities - prices per 100 kg</v>
          </cell>
          <cell r="M41" t="str">
            <v>Laitues de pleine terre: toutes qualités</v>
          </cell>
          <cell r="N41" t="str">
            <v>Lettuce in the open: all qualities - prices per 100 kg</v>
          </cell>
          <cell r="O41" t="str">
            <v>Lettuce in the open: all qualities - prices per 100 kg</v>
          </cell>
          <cell r="P41" t="str">
            <v>Lettuce in the open: all qualities - prices per 100 kg</v>
          </cell>
          <cell r="Q41" t="str">
            <v>Lettuce in the open: all qualities - prices per 100 kg</v>
          </cell>
          <cell r="R41" t="str">
            <v>Lettuce in the open: all qualities - prices per 100 kg</v>
          </cell>
          <cell r="S41" t="str">
            <v>Lettuce in the open: all qualities - prices per 100 kg</v>
          </cell>
          <cell r="T41" t="str">
            <v>Lettuce in the open: all qualities - prices per 100 kg</v>
          </cell>
          <cell r="U41" t="str">
            <v>Lettuce in the open: all qualities - prices per 100 kg</v>
          </cell>
          <cell r="V41" t="str">
            <v>Lettuce in the open: all qualities - prices per 100 kg</v>
          </cell>
          <cell r="W41" t="str">
            <v>Lettuce in the open: all qualities - prices per 100 kg</v>
          </cell>
          <cell r="X41" t="str">
            <v>Lettuce in the open: all qualities - prices per 100 kg</v>
          </cell>
        </row>
        <row r="42">
          <cell r="A42" t="str">
            <v>04192200</v>
          </cell>
          <cell r="B42">
            <v>1831</v>
          </cell>
          <cell r="C42" t="str">
            <v>u2</v>
          </cell>
          <cell r="D42" t="str">
            <v>g47</v>
          </cell>
          <cell r="E42" t="str">
            <v>Lettuce under glass: all qualities - prices per 100 kg</v>
          </cell>
          <cell r="F42" t="str">
            <v>Lettuce under glass: all qualities - prices per 100 kg</v>
          </cell>
          <cell r="G42" t="str">
            <v>Kopfsalat (unter Glas): alle Qualitäten</v>
          </cell>
          <cell r="H42" t="str">
            <v>Lettuce under glass: all qualities - prices per 100 kg</v>
          </cell>
          <cell r="I42" t="str">
            <v>Lettuce under glass: all qualities - prices per 100 kg</v>
          </cell>
          <cell r="J42" t="str">
            <v>Lettuce under glass: all qualities - prices per 100 kg</v>
          </cell>
          <cell r="K42" t="str">
            <v>Lettuce under glass: all qualities - prices per 100 kg</v>
          </cell>
          <cell r="L42" t="str">
            <v>Lettuce under glass: all qualities - prices per 100 kg</v>
          </cell>
          <cell r="M42" t="str">
            <v>Laitues de serre: toutes qualités</v>
          </cell>
          <cell r="N42" t="str">
            <v>Lettuce under glass: all qualities - prices per 100 kg</v>
          </cell>
          <cell r="O42" t="str">
            <v>Lettuce under glass: all qualities - prices per 100 kg</v>
          </cell>
          <cell r="P42" t="str">
            <v>Lettuce under glass: all qualities - prices per 100 kg</v>
          </cell>
          <cell r="Q42" t="str">
            <v>Lettuce under glass: all qualities - prices per 100 kg</v>
          </cell>
          <cell r="R42" t="str">
            <v>Lettuce under glass: all qualities - prices per 100 kg</v>
          </cell>
          <cell r="S42" t="str">
            <v>Lettuce under glass: all qualities - prices per 100 kg</v>
          </cell>
          <cell r="T42" t="str">
            <v>Lettuce under glass: all qualities - prices per 100 kg</v>
          </cell>
          <cell r="U42" t="str">
            <v>Lettuce under glass: all qualities - prices per 100 kg</v>
          </cell>
          <cell r="V42" t="str">
            <v>Lettuce under glass: all qualities - prices per 100 kg</v>
          </cell>
          <cell r="W42" t="str">
            <v>Lettuce under glass: all qualities - prices per 100 kg</v>
          </cell>
          <cell r="X42" t="str">
            <v>Lettuce under glass: all qualities - prices per 100 kg</v>
          </cell>
        </row>
        <row r="43">
          <cell r="A43" t="str">
            <v>04199910</v>
          </cell>
          <cell r="B43">
            <v>1851</v>
          </cell>
          <cell r="C43" t="str">
            <v>u2</v>
          </cell>
          <cell r="D43" t="str">
            <v>g47</v>
          </cell>
          <cell r="E43" t="str">
            <v>Asparagus: all qualities - prices per 100 kg</v>
          </cell>
          <cell r="F43" t="str">
            <v>Asparagus: all qualities - prices per 100 kg</v>
          </cell>
          <cell r="G43" t="str">
            <v>Spargel: alle Qualitäten</v>
          </cell>
          <cell r="H43" t="str">
            <v>Asparagus: all qualities - prices per 100 kg</v>
          </cell>
          <cell r="I43" t="str">
            <v>Asparagus: all qualities - prices per 100 kg</v>
          </cell>
          <cell r="J43" t="str">
            <v>Asparagus: all qualities - prices per 100 kg</v>
          </cell>
          <cell r="K43" t="str">
            <v>Asparagus: all qualities - prices per 100 kg</v>
          </cell>
          <cell r="L43" t="str">
            <v>Asparagus: all qualities - prices per 100 kg</v>
          </cell>
          <cell r="M43" t="str">
            <v>Asperges: toutes qualités</v>
          </cell>
          <cell r="N43" t="str">
            <v>Asparagus: all qualities - prices per 100 kg</v>
          </cell>
          <cell r="O43" t="str">
            <v>Asparagus: all qualities - prices per 100 kg</v>
          </cell>
          <cell r="P43" t="str">
            <v>Asparagus: all qualities - prices per 100 kg</v>
          </cell>
          <cell r="Q43" t="str">
            <v>Asparagus: all qualities - prices per 100 kg</v>
          </cell>
          <cell r="R43" t="str">
            <v>Asparagus: all qualities - prices per 100 kg</v>
          </cell>
          <cell r="S43" t="str">
            <v>Asparagus: all qualities - prices per 100 kg</v>
          </cell>
          <cell r="T43" t="str">
            <v>Asparagus: all qualities - prices per 100 kg</v>
          </cell>
          <cell r="U43" t="str">
            <v>Asparagus: all qualities - prices per 100 kg</v>
          </cell>
          <cell r="V43" t="str">
            <v>Asparagus: all qualities - prices per 100 kg</v>
          </cell>
          <cell r="W43" t="str">
            <v>Asparagus: all qualities - prices per 100 kg</v>
          </cell>
          <cell r="X43" t="str">
            <v>Asparagus: all qualities - prices per 100 kg</v>
          </cell>
        </row>
        <row r="44">
          <cell r="A44" t="str">
            <v>04121000</v>
          </cell>
          <cell r="B44">
            <v>1919</v>
          </cell>
          <cell r="C44" t="str">
            <v>u2</v>
          </cell>
          <cell r="D44" t="str">
            <v>g47</v>
          </cell>
          <cell r="E44" t="str">
            <v>Tomatoes in the open: all qualities - prices per 100 kg</v>
          </cell>
          <cell r="F44" t="str">
            <v>Tomatoes in the open: all qualities - prices per 100 kg</v>
          </cell>
          <cell r="G44" t="str">
            <v>Tomaten (Paradeiser), Freiland: alle Qualitäten</v>
          </cell>
          <cell r="H44" t="str">
            <v>Tomatoes in the open: all qualities - prices per 100 kg</v>
          </cell>
          <cell r="I44" t="str">
            <v>Tomatoes in the open: all qualities - prices per 100 kg</v>
          </cell>
          <cell r="J44" t="str">
            <v>Tomatoes in the open: all qualities - prices per 100 kg</v>
          </cell>
          <cell r="K44" t="str">
            <v>Tomatoes in the open: all qualities - prices per 100 kg</v>
          </cell>
          <cell r="L44" t="str">
            <v>Tomatoes in the open: all qualities - prices per 100 kg</v>
          </cell>
          <cell r="M44" t="str">
            <v>Tomates de pleine terre: toutes qualités</v>
          </cell>
          <cell r="N44" t="str">
            <v>Tomatoes in the open: all qualities - prices per 100 kg</v>
          </cell>
          <cell r="O44" t="str">
            <v>Tomatoes in the open: all qualities - prices per 100 kg</v>
          </cell>
          <cell r="P44" t="str">
            <v>Tomatoes in the open: all qualities - prices per 100 kg</v>
          </cell>
          <cell r="Q44" t="str">
            <v>Tomatoes in the open: all qualities - prices per 100 kg</v>
          </cell>
          <cell r="R44" t="str">
            <v>Tomatoes in the open: all qualities - prices per 100 kg</v>
          </cell>
          <cell r="S44" t="str">
            <v>Tomatoes in the open: all qualities - prices per 100 kg</v>
          </cell>
          <cell r="T44" t="str">
            <v>Tomatoes in the open: all qualities - prices per 100 kg</v>
          </cell>
          <cell r="U44" t="str">
            <v>Tomatoes in the open: all qualities - prices per 100 kg</v>
          </cell>
          <cell r="V44" t="str">
            <v>Tomatoes in the open: all qualities - prices per 100 kg</v>
          </cell>
          <cell r="W44" t="str">
            <v>Tomatoes in the open: all qualities - prices per 100 kg</v>
          </cell>
          <cell r="X44" t="str">
            <v>Tomatoes in the open: all qualities - prices per 100 kg</v>
          </cell>
        </row>
        <row r="45">
          <cell r="A45" t="str">
            <v>04122000</v>
          </cell>
          <cell r="B45">
            <v>1902</v>
          </cell>
          <cell r="C45" t="str">
            <v>u2</v>
          </cell>
          <cell r="D45" t="str">
            <v>g47</v>
          </cell>
          <cell r="E45" t="str">
            <v>Tomatoes under glass: all qualities - prices per 100 kg</v>
          </cell>
          <cell r="F45" t="str">
            <v>Tomatoes under glass: all qualities - prices per 100 kg</v>
          </cell>
          <cell r="G45" t="str">
            <v>Tomaten (Paradeiser), unter Glas: alle Qualitäten</v>
          </cell>
          <cell r="H45" t="str">
            <v>Tomatoes under glass: all qualities - prices per 100 kg</v>
          </cell>
          <cell r="I45" t="str">
            <v>Tomatoes under glass: all qualities - prices per 100 kg</v>
          </cell>
          <cell r="J45" t="str">
            <v>Tomatoes under glass: all qualities - prices per 100 kg</v>
          </cell>
          <cell r="K45" t="str">
            <v>Tomatoes under glass: all qualities - prices per 100 kg</v>
          </cell>
          <cell r="L45" t="str">
            <v>Tomatoes under glass: all qualities - prices per 100 kg</v>
          </cell>
          <cell r="M45" t="str">
            <v>Tomates de serre: toutes qualités</v>
          </cell>
          <cell r="N45" t="str">
            <v>Tomatoes under glass: all qualities - prices per 100 kg</v>
          </cell>
          <cell r="O45" t="str">
            <v>Tomatoes under glass: all qualities - prices per 100 kg</v>
          </cell>
          <cell r="P45" t="str">
            <v>Tomatoes under glass: all qualities - prices per 100 kg</v>
          </cell>
          <cell r="Q45" t="str">
            <v>Tomatoes under glass: all qualities - prices per 100 kg</v>
          </cell>
          <cell r="R45" t="str">
            <v>Tomatoes under glass: all qualities - prices per 100 kg</v>
          </cell>
          <cell r="S45" t="str">
            <v>Tomatoes under glass: all qualities - prices per 100 kg</v>
          </cell>
          <cell r="T45" t="str">
            <v>Tomatoes under glass: all qualities - prices per 100 kg</v>
          </cell>
          <cell r="U45" t="str">
            <v>Tomatoes under glass: all qualities - prices per 100 kg</v>
          </cell>
          <cell r="V45" t="str">
            <v>Tomatoes under glass: all qualities - prices per 100 kg</v>
          </cell>
          <cell r="W45" t="str">
            <v>Tomatoes under glass: all qualities - prices per 100 kg</v>
          </cell>
          <cell r="X45" t="str">
            <v>Tomatoes under glass: all qualities - prices per 100 kg</v>
          </cell>
        </row>
        <row r="46">
          <cell r="A46" t="str">
            <v>04194100</v>
          </cell>
          <cell r="B46">
            <v>1891</v>
          </cell>
          <cell r="C46" t="str">
            <v>u2</v>
          </cell>
          <cell r="D46" t="str">
            <v>g47</v>
          </cell>
          <cell r="E46" t="str">
            <v>Cucumbers in the open: all qualities - prices per 100 kg</v>
          </cell>
          <cell r="F46" t="str">
            <v>Cucumbers in the open: all qualities - prices per 100 kg</v>
          </cell>
          <cell r="G46" t="str">
            <v>Salatgurken (Freiland): alle Qualitäten</v>
          </cell>
          <cell r="H46" t="str">
            <v>Cucumbers in the open: all qualities - prices per 100 kg</v>
          </cell>
          <cell r="I46" t="str">
            <v>Cucumbers in the open: all qualities - prices per 100 kg</v>
          </cell>
          <cell r="J46" t="str">
            <v>Cucumbers in the open: all qualities - prices per 100 kg</v>
          </cell>
          <cell r="K46" t="str">
            <v>Cucumbers in the open: all qualities - prices per 100 kg</v>
          </cell>
          <cell r="L46" t="str">
            <v>Cucumbers in the open: all qualities - prices per 100 kg</v>
          </cell>
          <cell r="M46" t="str">
            <v>Concombres de pleine terre: toutes qualités</v>
          </cell>
          <cell r="N46" t="str">
            <v>Cucumbers in the open: all qualities - prices per 100 kg</v>
          </cell>
          <cell r="O46" t="str">
            <v>Cucumbers in the open: all qualities - prices per 100 kg</v>
          </cell>
          <cell r="P46" t="str">
            <v>Cucumbers in the open: all qualities - prices per 100 kg</v>
          </cell>
          <cell r="Q46" t="str">
            <v>Cucumbers in the open: all qualities - prices per 100 kg</v>
          </cell>
          <cell r="R46" t="str">
            <v>Cucumbers in the open: all qualities - prices per 100 kg</v>
          </cell>
          <cell r="S46" t="str">
            <v>Cucumbers in the open: all qualities - prices per 100 kg</v>
          </cell>
          <cell r="T46" t="str">
            <v>Cucumbers in the open: all qualities - prices per 100 kg</v>
          </cell>
          <cell r="U46" t="str">
            <v>Cucumbers in the open: all qualities - prices per 100 kg</v>
          </cell>
          <cell r="V46" t="str">
            <v>Cucumbers in the open: all qualities - prices per 100 kg</v>
          </cell>
          <cell r="W46" t="str">
            <v>Cucumbers in the open: all qualities - prices per 100 kg</v>
          </cell>
          <cell r="X46" t="str">
            <v>Cucumbers in the open: all qualities - prices per 100 kg</v>
          </cell>
        </row>
        <row r="47">
          <cell r="A47" t="str">
            <v>04194200</v>
          </cell>
          <cell r="B47">
            <v>1910</v>
          </cell>
          <cell r="C47" t="str">
            <v>u2</v>
          </cell>
          <cell r="D47" t="str">
            <v>g48</v>
          </cell>
          <cell r="E47" t="str">
            <v>Cucumbers under glass: all qualities - prices per 100 kg</v>
          </cell>
          <cell r="F47" t="str">
            <v>Cucumbers under glass: all qualities - prices per 100 kg</v>
          </cell>
          <cell r="G47" t="str">
            <v xml:space="preserve">Salatgurken (unter Glas): alle Qualitäten </v>
          </cell>
          <cell r="H47" t="str">
            <v>Cucumbers under glass: all qualities - prices per 100 kg</v>
          </cell>
          <cell r="I47" t="str">
            <v>Cucumbers under glass: all qualities - prices per 100 kg</v>
          </cell>
          <cell r="J47" t="str">
            <v>Cucumbers under glass: all qualities - prices per 100 kg</v>
          </cell>
          <cell r="K47" t="str">
            <v>Cucumbers under glass: all qualities - prices per 100 kg</v>
          </cell>
          <cell r="L47" t="str">
            <v>Cucumbers under glass: all qualities - prices per 100 kg</v>
          </cell>
          <cell r="M47" t="str">
            <v xml:space="preserve">Concombres de serre: toutes qualités </v>
          </cell>
          <cell r="N47" t="str">
            <v>Cucumbers under glass: all qualities - prices per 100 kg</v>
          </cell>
          <cell r="O47" t="str">
            <v>Cucumbers under glass: all qualities - prices per 100 kg</v>
          </cell>
          <cell r="P47" t="str">
            <v>Cucumbers under glass: all qualities - prices per 100 kg</v>
          </cell>
          <cell r="Q47" t="str">
            <v>Cucumbers under glass: all qualities - prices per 100 kg</v>
          </cell>
          <cell r="R47" t="str">
            <v>Cucumbers under glass: all qualities - prices per 100 kg</v>
          </cell>
          <cell r="S47" t="str">
            <v>Cucumbers under glass: all qualities - prices per 100 kg</v>
          </cell>
          <cell r="T47" t="str">
            <v>Cucumbers under glass: all qualities - prices per 100 kg</v>
          </cell>
          <cell r="U47" t="str">
            <v>Cucumbers under glass: all qualities - prices per 100 kg</v>
          </cell>
          <cell r="V47" t="str">
            <v>Cucumbers under glass: all qualities - prices per 100 kg</v>
          </cell>
          <cell r="W47" t="str">
            <v>Cucumbers under glass: all qualities - prices per 100 kg</v>
          </cell>
          <cell r="X47" t="str">
            <v>Cucumbers under glass: all qualities - prices per 100 kg</v>
          </cell>
        </row>
        <row r="48">
          <cell r="A48" t="str">
            <v>04199913</v>
          </cell>
          <cell r="B48">
            <v>1912</v>
          </cell>
          <cell r="C48" t="str">
            <v>u2</v>
          </cell>
          <cell r="D48" t="str">
            <v>g48</v>
          </cell>
          <cell r="E48" t="str">
            <v>Melons - prices per 100 kg</v>
          </cell>
          <cell r="F48" t="str">
            <v>Melons - prices per 100 kg</v>
          </cell>
          <cell r="G48" t="str">
            <v>Zuckermelonen</v>
          </cell>
          <cell r="H48" t="str">
            <v>Melons - prices per 100 kg</v>
          </cell>
          <cell r="I48" t="str">
            <v>Melons - prices per 100 kg</v>
          </cell>
          <cell r="J48" t="str">
            <v>Melons - prices per 100 kg</v>
          </cell>
          <cell r="K48" t="str">
            <v>Melons - prices per 100 kg</v>
          </cell>
          <cell r="L48" t="str">
            <v>Melons - prices per 100 kg</v>
          </cell>
          <cell r="M48" t="str">
            <v>Melons</v>
          </cell>
          <cell r="N48" t="str">
            <v>Melons - prices per 100 kg</v>
          </cell>
          <cell r="O48" t="str">
            <v>Melons - prices per 100 kg</v>
          </cell>
          <cell r="P48" t="str">
            <v>Melons - prices per 100 kg</v>
          </cell>
          <cell r="Q48" t="str">
            <v>Melons - prices per 100 kg</v>
          </cell>
          <cell r="R48" t="str">
            <v>Melons - prices per 100 kg</v>
          </cell>
          <cell r="S48" t="str">
            <v>Melons - prices per 100 kg</v>
          </cell>
          <cell r="T48" t="str">
            <v>Melons - prices per 100 kg</v>
          </cell>
          <cell r="U48" t="str">
            <v>Melons - prices per 100 kg</v>
          </cell>
          <cell r="V48" t="str">
            <v>Melons - prices per 100 kg</v>
          </cell>
          <cell r="W48" t="str">
            <v>Melons - prices per 100 kg</v>
          </cell>
          <cell r="X48" t="str">
            <v>Melons - prices per 100 kg</v>
          </cell>
        </row>
        <row r="49">
          <cell r="A49" t="str">
            <v>04199914</v>
          </cell>
          <cell r="B49">
            <v>1913</v>
          </cell>
          <cell r="C49" t="str">
            <v>u2</v>
          </cell>
          <cell r="D49" t="str">
            <v>g48</v>
          </cell>
          <cell r="E49" t="str">
            <v>Water melons - prices per 100 kg</v>
          </cell>
          <cell r="F49" t="str">
            <v>Water melons - prices per 100 kg</v>
          </cell>
          <cell r="G49" t="str">
            <v>Wassermelonen</v>
          </cell>
          <cell r="H49" t="str">
            <v>Water melons - prices per 100 kg</v>
          </cell>
          <cell r="I49" t="str">
            <v>Water melons - prices per 100 kg</v>
          </cell>
          <cell r="J49" t="str">
            <v>Water melons - prices per 100 kg</v>
          </cell>
          <cell r="K49" t="str">
            <v>Water melons - prices per 100 kg</v>
          </cell>
          <cell r="L49" t="str">
            <v>Water melons - prices per 100 kg</v>
          </cell>
          <cell r="M49" t="str">
            <v>Pastèques</v>
          </cell>
          <cell r="N49" t="str">
            <v>Water melons - prices per 100 kg</v>
          </cell>
          <cell r="O49" t="str">
            <v>Water melons - prices per 100 kg</v>
          </cell>
          <cell r="P49" t="str">
            <v>Water melons - prices per 100 kg</v>
          </cell>
          <cell r="Q49" t="str">
            <v>Water melons - prices per 100 kg</v>
          </cell>
          <cell r="R49" t="str">
            <v>Water melons - prices per 100 kg</v>
          </cell>
          <cell r="S49" t="str">
            <v>Water melons - prices per 100 kg</v>
          </cell>
          <cell r="T49" t="str">
            <v>Water melons - prices per 100 kg</v>
          </cell>
          <cell r="U49" t="str">
            <v>Water melons - prices per 100 kg</v>
          </cell>
          <cell r="V49" t="str">
            <v>Water melons - prices per 100 kg</v>
          </cell>
          <cell r="W49" t="str">
            <v>Water melons - prices per 100 kg</v>
          </cell>
          <cell r="X49" t="str">
            <v>Water melons - prices per 100 kg</v>
          </cell>
        </row>
        <row r="50">
          <cell r="A50" t="str">
            <v>04195000</v>
          </cell>
          <cell r="B50">
            <v>1915</v>
          </cell>
          <cell r="C50" t="str">
            <v>u2</v>
          </cell>
          <cell r="D50" t="str">
            <v>g48</v>
          </cell>
          <cell r="E50" t="str">
            <v>Carrots: all qualities - prices per 100 kg</v>
          </cell>
          <cell r="F50" t="str">
            <v>Carrots: all qualities - prices per 100 kg</v>
          </cell>
          <cell r="G50" t="str">
            <v>Karotten: alle Qualitäten</v>
          </cell>
          <cell r="H50" t="str">
            <v>Carrots: all qualities - prices per 100 kg</v>
          </cell>
          <cell r="I50" t="str">
            <v>Carrots: all qualities - prices per 100 kg</v>
          </cell>
          <cell r="J50" t="str">
            <v>Carrots: all qualities - prices per 100 kg</v>
          </cell>
          <cell r="K50" t="str">
            <v>Carrots: all qualities - prices per 100 kg</v>
          </cell>
          <cell r="L50" t="str">
            <v>Carrots: all qualities - prices per 100 kg</v>
          </cell>
          <cell r="M50" t="str">
            <v>Carottes: toutes qualités</v>
          </cell>
          <cell r="N50" t="str">
            <v>Carrots: all qualities - prices per 100 kg</v>
          </cell>
          <cell r="O50" t="str">
            <v>Carrots: all qualities - prices per 100 kg</v>
          </cell>
          <cell r="P50" t="str">
            <v>Carrots: all qualities - prices per 100 kg</v>
          </cell>
          <cell r="Q50" t="str">
            <v>Carrots: all qualities - prices per 100 kg</v>
          </cell>
          <cell r="R50" t="str">
            <v>Carrots: all qualities - prices per 100 kg</v>
          </cell>
          <cell r="S50" t="str">
            <v>Carrots: all qualities - prices per 100 kg</v>
          </cell>
          <cell r="T50" t="str">
            <v>Carrots: all qualities - prices per 100 kg</v>
          </cell>
          <cell r="U50" t="str">
            <v>Carrots: all qualities - prices per 100 kg</v>
          </cell>
          <cell r="V50" t="str">
            <v>Carrots: all qualities - prices per 100 kg</v>
          </cell>
          <cell r="W50" t="str">
            <v>Carrots: all qualities - prices per 100 kg</v>
          </cell>
          <cell r="X50" t="str">
            <v>Carrots: all qualities - prices per 100 kg</v>
          </cell>
        </row>
        <row r="51">
          <cell r="A51" t="str">
            <v>04196000</v>
          </cell>
          <cell r="B51">
            <v>1920</v>
          </cell>
          <cell r="C51" t="str">
            <v>u2</v>
          </cell>
          <cell r="D51" t="str">
            <v>g48</v>
          </cell>
          <cell r="E51" t="str">
            <v>Onions: all qualities - prices per 100 kg</v>
          </cell>
          <cell r="F51" t="str">
            <v>Onions: all qualities - prices per 100 kg</v>
          </cell>
          <cell r="G51" t="str">
            <v>Zwiebeln: alle Qualitäten</v>
          </cell>
          <cell r="H51" t="str">
            <v>Onions: all qualities - prices per 100 kg</v>
          </cell>
          <cell r="I51" t="str">
            <v>Onions: all qualities - prices per 100 kg</v>
          </cell>
          <cell r="J51" t="str">
            <v>Onions: all qualities - prices per 100 kg</v>
          </cell>
          <cell r="K51" t="str">
            <v>Onions: all qualities - prices per 100 kg</v>
          </cell>
          <cell r="L51" t="str">
            <v>Onions: all qualities - prices per 100 kg</v>
          </cell>
          <cell r="M51" t="str">
            <v>Oignons: toutes qualités</v>
          </cell>
          <cell r="N51" t="str">
            <v>Onions: all qualities - prices per 100 kg</v>
          </cell>
          <cell r="O51" t="str">
            <v>Onions: all qualities - prices per 100 kg</v>
          </cell>
          <cell r="P51" t="str">
            <v>Onions: all qualities - prices per 100 kg</v>
          </cell>
          <cell r="Q51" t="str">
            <v>Onions: all qualities - prices per 100 kg</v>
          </cell>
          <cell r="R51" t="str">
            <v>Onions: all qualities - prices per 100 kg</v>
          </cell>
          <cell r="S51" t="str">
            <v>Onions: all qualities - prices per 100 kg</v>
          </cell>
          <cell r="T51" t="str">
            <v>Onions: all qualities - prices per 100 kg</v>
          </cell>
          <cell r="U51" t="str">
            <v>Onions: all qualities - prices per 100 kg</v>
          </cell>
          <cell r="V51" t="str">
            <v>Onions: all qualities - prices per 100 kg</v>
          </cell>
          <cell r="W51" t="str">
            <v>Onions: all qualities - prices per 100 kg</v>
          </cell>
          <cell r="X51" t="str">
            <v>Onions: all qualities - prices per 100 kg</v>
          </cell>
        </row>
        <row r="52">
          <cell r="A52" t="str">
            <v>04199000</v>
          </cell>
          <cell r="B52">
            <v>1928</v>
          </cell>
          <cell r="C52" t="str">
            <v>u2</v>
          </cell>
          <cell r="D52" t="str">
            <v>g48</v>
          </cell>
          <cell r="E52" t="str">
            <v>Green peas: all qualities - prices per 100 kg</v>
          </cell>
          <cell r="F52" t="str">
            <v>Green peas: all qualities - prices per 100 kg</v>
          </cell>
          <cell r="G52" t="str">
            <v>Pflückbohnen</v>
          </cell>
          <cell r="H52" t="str">
            <v>Green peas: all qualities - prices per 100 kg</v>
          </cell>
          <cell r="I52" t="str">
            <v>Green peas: all qualities - prices per 100 kg</v>
          </cell>
          <cell r="J52" t="str">
            <v>Green peas: all qualities - prices per 100 kg</v>
          </cell>
          <cell r="K52" t="str">
            <v>Green peas: all qualities - prices per 100 kg</v>
          </cell>
          <cell r="L52" t="str">
            <v>Green peas: all qualities - prices per 100 kg</v>
          </cell>
          <cell r="M52" t="str">
            <v>Petits pois: toutes qualités</v>
          </cell>
          <cell r="N52" t="str">
            <v>Green peas: all qualities - prices per 100 kg</v>
          </cell>
          <cell r="O52" t="str">
            <v>Green peas: all qualities - prices per 100 kg</v>
          </cell>
          <cell r="P52" t="str">
            <v>Green peas: all qualities - prices per 100 kg</v>
          </cell>
          <cell r="Q52" t="str">
            <v>Green peas: all qualities - prices per 100 kg</v>
          </cell>
          <cell r="R52" t="str">
            <v>Green peas: all qualities - prices per 100 kg</v>
          </cell>
          <cell r="S52" t="str">
            <v>Green peas: all qualities - prices per 100 kg</v>
          </cell>
          <cell r="T52" t="str">
            <v>Green peas: all qualities - prices per 100 kg</v>
          </cell>
          <cell r="U52" t="str">
            <v>Green peas: all qualities - prices per 100 kg</v>
          </cell>
          <cell r="V52" t="str">
            <v>Green peas: all qualities - prices per 100 kg</v>
          </cell>
          <cell r="W52" t="str">
            <v>Green peas: all qualities - prices per 100 kg</v>
          </cell>
          <cell r="X52" t="str">
            <v>Green peas: all qualities - prices per 100 kg</v>
          </cell>
        </row>
        <row r="53">
          <cell r="A53" t="str">
            <v>04198100</v>
          </cell>
          <cell r="B53">
            <v>1929</v>
          </cell>
          <cell r="C53" t="str">
            <v>u2</v>
          </cell>
          <cell r="D53" t="str">
            <v>g48</v>
          </cell>
          <cell r="E53" t="str">
            <v>French beans: all qualities - prices per 100 kg</v>
          </cell>
          <cell r="F53" t="str">
            <v>French beans: all qualities - prices per 100 kg</v>
          </cell>
          <cell r="G53" t="str">
            <v>Grüne Bohnen (Fisolen): alle Qualitäten</v>
          </cell>
          <cell r="H53" t="str">
            <v>French beans: all qualities - prices per 100 kg</v>
          </cell>
          <cell r="I53" t="str">
            <v>French beans: all qualities - prices per 100 kg</v>
          </cell>
          <cell r="J53" t="str">
            <v>French beans: all qualities - prices per 100 kg</v>
          </cell>
          <cell r="K53" t="str">
            <v>French beans: all qualities - prices per 100 kg</v>
          </cell>
          <cell r="L53" t="str">
            <v>French beans: all qualities - prices per 100 kg</v>
          </cell>
          <cell r="M53" t="str">
            <v>Haricots verts: toutes qualités</v>
          </cell>
          <cell r="N53" t="str">
            <v>French beans: all qualities - prices per 100 kg</v>
          </cell>
          <cell r="O53" t="str">
            <v>French beans: all qualities - prices per 100 kg</v>
          </cell>
          <cell r="P53" t="str">
            <v>French beans: all qualities - prices per 100 kg</v>
          </cell>
          <cell r="Q53" t="str">
            <v>French beans: all qualities - prices per 100 kg</v>
          </cell>
          <cell r="R53" t="str">
            <v>French beans: all qualities - prices per 100 kg</v>
          </cell>
          <cell r="S53" t="str">
            <v>French beans: all qualities - prices per 100 kg</v>
          </cell>
          <cell r="T53" t="str">
            <v>French beans: all qualities - prices per 100 kg</v>
          </cell>
          <cell r="U53" t="str">
            <v>French beans: all qualities - prices per 100 kg</v>
          </cell>
          <cell r="V53" t="str">
            <v>French beans: all qualities - prices per 100 kg</v>
          </cell>
          <cell r="W53" t="str">
            <v>French beans: all qualities - prices per 100 kg</v>
          </cell>
          <cell r="X53" t="str">
            <v>French beans: all qualities - prices per 100 kg</v>
          </cell>
        </row>
        <row r="54">
          <cell r="A54" t="str">
            <v>04199901</v>
          </cell>
          <cell r="B54">
            <v>1930</v>
          </cell>
          <cell r="C54" t="str">
            <v>u2</v>
          </cell>
          <cell r="D54" t="str">
            <v>g48</v>
          </cell>
          <cell r="E54" t="str">
            <v>Cultivated mushrooms: all qualities - prices per 100 kg</v>
          </cell>
          <cell r="F54" t="str">
            <v>Cultivated mushrooms: all qualities - prices per 100 kg</v>
          </cell>
          <cell r="G54" t="str">
            <v>Zuchtchampignons: alle Qualitäten</v>
          </cell>
          <cell r="H54" t="str">
            <v>Cultivated mushrooms: all qualities - prices per 100 kg</v>
          </cell>
          <cell r="I54" t="str">
            <v>Cultivated mushrooms: all qualities - prices per 100 kg</v>
          </cell>
          <cell r="J54" t="str">
            <v>Cultivated mushrooms: all qualities - prices per 100 kg</v>
          </cell>
          <cell r="K54" t="str">
            <v>Cultivated mushrooms: all qualities - prices per 100 kg</v>
          </cell>
          <cell r="L54" t="str">
            <v>Cultivated mushrooms: all qualities - prices per 100 kg</v>
          </cell>
          <cell r="M54" t="str">
            <v>Champignons de culture: toutes qualités</v>
          </cell>
          <cell r="N54" t="str">
            <v>Cultivated mushrooms: all qualities - prices per 100 kg</v>
          </cell>
          <cell r="O54" t="str">
            <v>Cultivated mushrooms: all qualities - prices per 100 kg</v>
          </cell>
          <cell r="P54" t="str">
            <v>Cultivated mushrooms: all qualities - prices per 100 kg</v>
          </cell>
          <cell r="Q54" t="str">
            <v>Cultivated mushrooms: all qualities - prices per 100 kg</v>
          </cell>
          <cell r="R54" t="str">
            <v>Cultivated mushrooms: all qualities - prices per 100 kg</v>
          </cell>
          <cell r="S54" t="str">
            <v>Cultivated mushrooms: all qualities - prices per 100 kg</v>
          </cell>
          <cell r="T54" t="str">
            <v>Cultivated mushrooms: all qualities - prices per 100 kg</v>
          </cell>
          <cell r="U54" t="str">
            <v>Cultivated mushrooms: all qualities - prices per 100 kg</v>
          </cell>
          <cell r="V54" t="str">
            <v>Cultivated mushrooms: all qualities - prices per 100 kg</v>
          </cell>
          <cell r="W54" t="str">
            <v>Cultivated mushrooms: all qualities - prices per 100 kg</v>
          </cell>
          <cell r="X54" t="str">
            <v>Cultivated mushrooms: all qualities - prices per 100 kg</v>
          </cell>
        </row>
        <row r="55">
          <cell r="A55" t="str">
            <v>04199906</v>
          </cell>
          <cell r="B55">
            <v>1632</v>
          </cell>
          <cell r="C55" t="str">
            <v>u2</v>
          </cell>
          <cell r="D55" t="str">
            <v>g48</v>
          </cell>
          <cell r="E55" t="str">
            <v>Garlic - prices per 100 kg</v>
          </cell>
          <cell r="F55" t="str">
            <v>Garlic - prices per 100 kg</v>
          </cell>
          <cell r="G55" t="str">
            <v>Knoblauch</v>
          </cell>
          <cell r="H55" t="str">
            <v>Garlic - prices per 100 kg</v>
          </cell>
          <cell r="I55" t="str">
            <v>Garlic - prices per 100 kg</v>
          </cell>
          <cell r="J55" t="str">
            <v>Garlic - prices per 100 kg</v>
          </cell>
          <cell r="K55" t="str">
            <v>Garlic - prices per 100 kg</v>
          </cell>
          <cell r="L55" t="str">
            <v>Garlic - prices per 100 kg</v>
          </cell>
          <cell r="M55" t="str">
            <v>Ail</v>
          </cell>
          <cell r="N55" t="str">
            <v>Garlic - prices per 100 kg</v>
          </cell>
          <cell r="O55" t="str">
            <v>Garlic - prices per 100 kg</v>
          </cell>
          <cell r="P55" t="str">
            <v>Garlic - prices per 100 kg</v>
          </cell>
          <cell r="Q55" t="str">
            <v>Garlic - prices per 100 kg</v>
          </cell>
          <cell r="R55" t="str">
            <v>Garlic - prices per 100 kg</v>
          </cell>
          <cell r="S55" t="str">
            <v>Garlic - prices per 100 kg</v>
          </cell>
          <cell r="T55" t="str">
            <v>Garlic - prices per 100 kg</v>
          </cell>
          <cell r="U55" t="str">
            <v>Garlic - prices per 100 kg</v>
          </cell>
          <cell r="V55" t="str">
            <v>Garlic - prices per 100 kg</v>
          </cell>
          <cell r="W55" t="str">
            <v>Garlic - prices per 100 kg</v>
          </cell>
          <cell r="X55" t="str">
            <v>Garlic - prices per 100 kg</v>
          </cell>
        </row>
        <row r="56">
          <cell r="A56" t="str">
            <v>04199907</v>
          </cell>
          <cell r="B56">
            <v>1701</v>
          </cell>
          <cell r="C56" t="str">
            <v>u2</v>
          </cell>
          <cell r="D56" t="str">
            <v>g48</v>
          </cell>
          <cell r="E56" t="str">
            <v>Kohlrabi - prices per 100 kg</v>
          </cell>
          <cell r="F56" t="str">
            <v>Kohlrabi - prices per 100 kg</v>
          </cell>
          <cell r="G56" t="str">
            <v>Kohlrabi</v>
          </cell>
          <cell r="H56" t="str">
            <v>Kohlrabi - prices per 100 kg</v>
          </cell>
          <cell r="I56" t="str">
            <v>Kohlrabi - prices per 100 kg</v>
          </cell>
          <cell r="J56" t="str">
            <v>Kohlrabi - prices per 100 kg</v>
          </cell>
          <cell r="K56" t="str">
            <v>Kohlrabi - prices per 100 kg</v>
          </cell>
          <cell r="L56" t="str">
            <v>Kohlrabi - prices per 100 kg</v>
          </cell>
          <cell r="M56" t="str">
            <v>Chou-raves</v>
          </cell>
          <cell r="N56" t="str">
            <v>Kohlrabi - prices per 100 kg</v>
          </cell>
          <cell r="O56" t="str">
            <v>Kohlrabi - prices per 100 kg</v>
          </cell>
          <cell r="P56" t="str">
            <v>Kohlrabi - prices per 100 kg</v>
          </cell>
          <cell r="Q56" t="str">
            <v>Kohlrabi - prices per 100 kg</v>
          </cell>
          <cell r="R56" t="str">
            <v>Kohlrabi - prices per 100 kg</v>
          </cell>
          <cell r="S56" t="str">
            <v>Kohlrabi - prices per 100 kg</v>
          </cell>
          <cell r="T56" t="str">
            <v>Kohlrabi - prices per 100 kg</v>
          </cell>
          <cell r="U56" t="str">
            <v>Kohlrabi - prices per 100 kg</v>
          </cell>
          <cell r="V56" t="str">
            <v>Kohlrabi - prices per 100 kg</v>
          </cell>
          <cell r="W56" t="str">
            <v>Kohlrabi - prices per 100 kg</v>
          </cell>
          <cell r="X56" t="str">
            <v>Kohlrabi - prices per 100 kg</v>
          </cell>
        </row>
        <row r="57">
          <cell r="A57" t="str">
            <v>04199908</v>
          </cell>
          <cell r="B57">
            <v>1911</v>
          </cell>
          <cell r="C57" t="str">
            <v>u2</v>
          </cell>
          <cell r="D57" t="str">
            <v>g48</v>
          </cell>
          <cell r="E57" t="str">
            <v>Radish - prices per 100 kg</v>
          </cell>
          <cell r="F57" t="str">
            <v>Radish - prices per 100 kg</v>
          </cell>
          <cell r="G57" t="str">
            <v>Radieschen</v>
          </cell>
          <cell r="H57" t="str">
            <v>Radish - prices per 100 kg</v>
          </cell>
          <cell r="I57" t="str">
            <v>Radish - prices per 100 kg</v>
          </cell>
          <cell r="J57" t="str">
            <v>Radish - prices per 100 kg</v>
          </cell>
          <cell r="K57" t="str">
            <v>Radish - prices per 100 kg</v>
          </cell>
          <cell r="L57" t="str">
            <v>Radish - prices per 100 kg</v>
          </cell>
          <cell r="M57" t="str">
            <v>Radis</v>
          </cell>
          <cell r="N57" t="str">
            <v>Radish - prices per 100 kg</v>
          </cell>
          <cell r="O57" t="str">
            <v>Radish - prices per 100 kg</v>
          </cell>
          <cell r="P57" t="str">
            <v>Radish - prices per 100 kg</v>
          </cell>
          <cell r="Q57" t="str">
            <v>Radish - prices per 100 kg</v>
          </cell>
          <cell r="R57" t="str">
            <v>Radish - prices per 100 kg</v>
          </cell>
          <cell r="S57" t="str">
            <v>Radish - prices per 100 kg</v>
          </cell>
          <cell r="T57" t="str">
            <v>Radish - prices per 100 kg</v>
          </cell>
          <cell r="U57" t="str">
            <v>Radish - prices per 100 kg</v>
          </cell>
          <cell r="V57" t="str">
            <v>Radish - prices per 100 kg</v>
          </cell>
          <cell r="W57" t="str">
            <v>Radish - prices per 100 kg</v>
          </cell>
          <cell r="X57" t="str">
            <v>Radish - prices per 100 kg</v>
          </cell>
        </row>
        <row r="58">
          <cell r="A58" t="str">
            <v>04193000</v>
          </cell>
          <cell r="B58">
            <v>1671</v>
          </cell>
          <cell r="C58" t="str">
            <v>u2</v>
          </cell>
          <cell r="D58" t="str">
            <v>g48</v>
          </cell>
          <cell r="E58" t="str">
            <v>Spinach - prices per 100 kg</v>
          </cell>
          <cell r="F58" t="str">
            <v>Spinach - prices per 100 kg</v>
          </cell>
          <cell r="G58" t="str">
            <v>Spinat</v>
          </cell>
          <cell r="H58" t="str">
            <v>Spinach - prices per 100 kg</v>
          </cell>
          <cell r="I58" t="str">
            <v>Spinach - prices per 100 kg</v>
          </cell>
          <cell r="J58" t="str">
            <v>Spinach - prices per 100 kg</v>
          </cell>
          <cell r="K58" t="str">
            <v>Spinach - prices per 100 kg</v>
          </cell>
          <cell r="L58" t="str">
            <v>Spinach - prices per 100 kg</v>
          </cell>
          <cell r="M58" t="str">
            <v>Epinards</v>
          </cell>
          <cell r="N58" t="str">
            <v>Spinach - prices per 100 kg</v>
          </cell>
          <cell r="O58" t="str">
            <v>Spinach - prices per 100 kg</v>
          </cell>
          <cell r="P58" t="str">
            <v>Spinach - prices per 100 kg</v>
          </cell>
          <cell r="Q58" t="str">
            <v>Spinach - prices per 100 kg</v>
          </cell>
          <cell r="R58" t="str">
            <v>Spinach - prices per 100 kg</v>
          </cell>
          <cell r="S58" t="str">
            <v>Spinach - prices per 100 kg</v>
          </cell>
          <cell r="T58" t="str">
            <v>Spinach - prices per 100 kg</v>
          </cell>
          <cell r="U58" t="str">
            <v>Spinach - prices per 100 kg</v>
          </cell>
          <cell r="V58" t="str">
            <v>Spinach - prices per 100 kg</v>
          </cell>
          <cell r="W58" t="str">
            <v>Spinach - prices per 100 kg</v>
          </cell>
          <cell r="X58" t="str">
            <v>Spinach - prices per 100 kg</v>
          </cell>
        </row>
        <row r="59">
          <cell r="A59" t="str">
            <v>06110000</v>
          </cell>
          <cell r="B59">
            <v>1771</v>
          </cell>
          <cell r="C59" t="str">
            <v>u2</v>
          </cell>
          <cell r="D59" t="str">
            <v>g48</v>
          </cell>
          <cell r="E59" t="str">
            <v>Dessert apples: all varieties - prices per 100 kg</v>
          </cell>
          <cell r="F59" t="str">
            <v>Dessert apples: all varieties - prices per 100 kg</v>
          </cell>
          <cell r="G59" t="str">
            <v>Tafeläpfel: alle Sorten</v>
          </cell>
          <cell r="H59" t="str">
            <v>Dessert apples: all varieties - prices per 100 kg</v>
          </cell>
          <cell r="I59" t="str">
            <v>Dessert apples: all varieties - prices per 100 kg</v>
          </cell>
          <cell r="J59" t="str">
            <v>Dessert apples: all varieties - prices per 100 kg</v>
          </cell>
          <cell r="K59" t="str">
            <v>Dessert apples: all varieties - prices per 100 kg</v>
          </cell>
          <cell r="L59" t="str">
            <v>Dessert apples: all varieties - prices per 100 kg</v>
          </cell>
          <cell r="M59" t="str">
            <v>Pommes de table: ensemble des variétés</v>
          </cell>
          <cell r="N59" t="str">
            <v>Dessert apples: all varieties - prices per 100 kg</v>
          </cell>
          <cell r="O59" t="str">
            <v>Dessert apples: all varieties - prices per 100 kg</v>
          </cell>
          <cell r="P59" t="str">
            <v>Dessert apples: all varieties - prices per 100 kg</v>
          </cell>
          <cell r="Q59" t="str">
            <v>Dessert apples: all varieties - prices per 100 kg</v>
          </cell>
          <cell r="R59" t="str">
            <v>Dessert apples: all varieties - prices per 100 kg</v>
          </cell>
          <cell r="S59" t="str">
            <v>Dessert apples: all varieties - prices per 100 kg</v>
          </cell>
          <cell r="T59" t="str">
            <v>Dessert apples: all varieties - prices per 100 kg</v>
          </cell>
          <cell r="U59" t="str">
            <v>Dessert apples: all varieties - prices per 100 kg</v>
          </cell>
          <cell r="V59" t="str">
            <v>Dessert apples: all varieties - prices per 100 kg</v>
          </cell>
          <cell r="W59" t="str">
            <v>Dessert apples: all varieties - prices per 100 kg</v>
          </cell>
          <cell r="X59" t="str">
            <v>Dessert apples: all varieties - prices per 100 kg</v>
          </cell>
        </row>
        <row r="60">
          <cell r="A60" t="str">
            <v>06120000</v>
          </cell>
          <cell r="B60">
            <v>1777</v>
          </cell>
          <cell r="C60" t="str">
            <v>u2</v>
          </cell>
          <cell r="D60" t="str">
            <v>g48</v>
          </cell>
          <cell r="E60" t="str">
            <v>Dessert pears: all varieties - prices per 100 kg</v>
          </cell>
          <cell r="F60" t="str">
            <v>Dessert pears: all varieties - prices per 100 kg</v>
          </cell>
          <cell r="G60" t="str">
            <v>Tafelbirnen: alle Sorten</v>
          </cell>
          <cell r="H60" t="str">
            <v>Dessert pears: all varieties - prices per 100 kg</v>
          </cell>
          <cell r="I60" t="str">
            <v>Dessert pears: all varieties - prices per 100 kg</v>
          </cell>
          <cell r="J60" t="str">
            <v>Dessert pears: all varieties - prices per 100 kg</v>
          </cell>
          <cell r="K60" t="str">
            <v>Dessert pears: all varieties - prices per 100 kg</v>
          </cell>
          <cell r="L60" t="str">
            <v>Dessert pears: all varieties - prices per 100 kg</v>
          </cell>
          <cell r="M60" t="str">
            <v>Poires de table: ensemble des variétés</v>
          </cell>
          <cell r="N60" t="str">
            <v>Dessert pears: all varieties - prices per 100 kg</v>
          </cell>
          <cell r="O60" t="str">
            <v>Dessert pears: all varieties - prices per 100 kg</v>
          </cell>
          <cell r="P60" t="str">
            <v>Dessert pears: all varieties - prices per 100 kg</v>
          </cell>
          <cell r="Q60" t="str">
            <v>Dessert pears: all varieties - prices per 100 kg</v>
          </cell>
          <cell r="R60" t="str">
            <v>Dessert pears: all varieties - prices per 100 kg</v>
          </cell>
          <cell r="S60" t="str">
            <v>Dessert pears: all varieties - prices per 100 kg</v>
          </cell>
          <cell r="T60" t="str">
            <v>Dessert pears: all varieties - prices per 100 kg</v>
          </cell>
          <cell r="U60" t="str">
            <v>Dessert pears: all varieties - prices per 100 kg</v>
          </cell>
          <cell r="V60" t="str">
            <v>Dessert pears: all varieties - prices per 100 kg</v>
          </cell>
          <cell r="W60" t="str">
            <v>Dessert pears: all varieties - prices per 100 kg</v>
          </cell>
          <cell r="X60" t="str">
            <v>Dessert pears: all varieties - prices per 100 kg</v>
          </cell>
        </row>
        <row r="61">
          <cell r="A61" t="str">
            <v>06130000</v>
          </cell>
          <cell r="B61">
            <v>3100</v>
          </cell>
          <cell r="C61" t="str">
            <v>u2</v>
          </cell>
          <cell r="D61" t="str">
            <v>g60</v>
          </cell>
          <cell r="E61" t="str">
            <v>Peaches: all varieties - prices per 100 kg</v>
          </cell>
          <cell r="F61" t="str">
            <v>Peaches: all varieties - prices per 100 kg</v>
          </cell>
          <cell r="G61" t="str">
            <v>Pfirsiche: alle Sorten</v>
          </cell>
          <cell r="H61" t="str">
            <v>Peaches: all varieties - prices per 100 kg</v>
          </cell>
          <cell r="I61" t="str">
            <v>Peaches: all varieties - prices per 100 kg</v>
          </cell>
          <cell r="J61" t="str">
            <v>Peaches: all varieties - prices per 100 kg</v>
          </cell>
          <cell r="K61" t="str">
            <v>Peaches: all varieties - prices per 100 kg</v>
          </cell>
          <cell r="L61" t="str">
            <v>Peaches: all varieties - prices per 100 kg</v>
          </cell>
          <cell r="M61" t="str">
            <v>Pêches: ensemble des variétés</v>
          </cell>
          <cell r="N61" t="str">
            <v>Peaches: all varieties - prices per 100 kg</v>
          </cell>
          <cell r="O61" t="str">
            <v>Peaches: all varieties - prices per 100 kg</v>
          </cell>
          <cell r="P61" t="str">
            <v>Peaches: all varieties - prices per 100 kg</v>
          </cell>
          <cell r="Q61" t="str">
            <v>Peaches: all varieties - prices per 100 kg</v>
          </cell>
          <cell r="R61" t="str">
            <v>Peaches: all varieties - prices per 100 kg</v>
          </cell>
          <cell r="S61" t="str">
            <v>Peaches: all varieties - prices per 100 kg</v>
          </cell>
          <cell r="T61" t="str">
            <v>Peaches: all varieties - prices per 100 kg</v>
          </cell>
          <cell r="U61" t="str">
            <v>Peaches: all varieties - prices per 100 kg</v>
          </cell>
          <cell r="V61" t="str">
            <v>Peaches: all varieties - prices per 100 kg</v>
          </cell>
          <cell r="W61" t="str">
            <v>Peaches: all varieties - prices per 100 kg</v>
          </cell>
          <cell r="X61" t="str">
            <v>Peaches: all varieties - prices per 100 kg</v>
          </cell>
        </row>
        <row r="62">
          <cell r="A62" t="str">
            <v>06199100</v>
          </cell>
          <cell r="B62">
            <v>3110</v>
          </cell>
          <cell r="C62" t="str">
            <v>u2</v>
          </cell>
          <cell r="D62" t="str">
            <v>g60</v>
          </cell>
          <cell r="E62" t="str">
            <v>Apricots: all varieties - prices per 100 kg</v>
          </cell>
          <cell r="F62" t="str">
            <v>Apricots: all varieties - prices per 100 kg</v>
          </cell>
          <cell r="G62" t="str">
            <v>Aprikosen (Marillen): alle Sorten</v>
          </cell>
          <cell r="H62" t="str">
            <v>Apricots: all varieties - prices per 100 kg</v>
          </cell>
          <cell r="I62" t="str">
            <v>Apricots: all varieties - prices per 100 kg</v>
          </cell>
          <cell r="J62" t="str">
            <v>Apricots: all varieties - prices per 100 kg</v>
          </cell>
          <cell r="K62" t="str">
            <v>Apricots: all varieties - prices per 100 kg</v>
          </cell>
          <cell r="L62" t="str">
            <v>Apricots: all varieties - prices per 100 kg</v>
          </cell>
          <cell r="M62" t="str">
            <v>Abricots: ensemble des variétés</v>
          </cell>
          <cell r="N62" t="str">
            <v>Apricots: all varieties - prices per 100 kg</v>
          </cell>
          <cell r="O62" t="str">
            <v>Apricots: all varieties - prices per 100 kg</v>
          </cell>
          <cell r="P62" t="str">
            <v>Apricots: all varieties - prices per 100 kg</v>
          </cell>
          <cell r="Q62" t="str">
            <v>Apricots: all varieties - prices per 100 kg</v>
          </cell>
          <cell r="R62" t="str">
            <v>Apricots: all varieties - prices per 100 kg</v>
          </cell>
          <cell r="S62" t="str">
            <v>Apricots: all varieties - prices per 100 kg</v>
          </cell>
          <cell r="T62" t="str">
            <v>Apricots: all varieties - prices per 100 kg</v>
          </cell>
          <cell r="U62" t="str">
            <v>Apricots: all varieties - prices per 100 kg</v>
          </cell>
          <cell r="V62" t="str">
            <v>Apricots: all varieties - prices per 100 kg</v>
          </cell>
          <cell r="W62" t="str">
            <v>Apricots: all varieties - prices per 100 kg</v>
          </cell>
          <cell r="X62" t="str">
            <v>Apricots: all varieties - prices per 100 kg</v>
          </cell>
        </row>
        <row r="63">
          <cell r="A63" t="str">
            <v>06191100</v>
          </cell>
          <cell r="B63">
            <v>3120</v>
          </cell>
          <cell r="C63" t="str">
            <v>u2</v>
          </cell>
          <cell r="D63" t="str">
            <v>g60</v>
          </cell>
          <cell r="E63" t="str">
            <v>Cherries: sweet cherries - prices per 100 kg</v>
          </cell>
          <cell r="F63" t="str">
            <v>Cherries: sweet cherries - prices per 100 kg</v>
          </cell>
          <cell r="G63" t="str">
            <v>Kirschen: Süsskirschen</v>
          </cell>
          <cell r="H63" t="str">
            <v>Cherries: sweet cherries - prices per 100 kg</v>
          </cell>
          <cell r="I63" t="str">
            <v>Cherries: sweet cherries - prices per 100 kg</v>
          </cell>
          <cell r="J63" t="str">
            <v>Cherries: sweet cherries - prices per 100 kg</v>
          </cell>
          <cell r="K63" t="str">
            <v>Cherries: sweet cherries - prices per 100 kg</v>
          </cell>
          <cell r="L63" t="str">
            <v>Cherries: sweet cherries - prices per 100 kg</v>
          </cell>
          <cell r="M63" t="str">
            <v>Cerises: Bigarreaux</v>
          </cell>
          <cell r="N63" t="str">
            <v>Cherries: sweet cherries - prices per 100 kg</v>
          </cell>
          <cell r="O63" t="str">
            <v>Cherries: sweet cherries - prices per 100 kg</v>
          </cell>
          <cell r="P63" t="str">
            <v>Cherries: sweet cherries - prices per 100 kg</v>
          </cell>
          <cell r="Q63" t="str">
            <v>Cherries: sweet cherries - prices per 100 kg</v>
          </cell>
          <cell r="R63" t="str">
            <v>Cherries: sweet cherries - prices per 100 kg</v>
          </cell>
          <cell r="S63" t="str">
            <v>Cherries: sweet cherries - prices per 100 kg</v>
          </cell>
          <cell r="T63" t="str">
            <v>Cherries: sweet cherries - prices per 100 kg</v>
          </cell>
          <cell r="U63" t="str">
            <v>Cherries: sweet cherries - prices per 100 kg</v>
          </cell>
          <cell r="V63" t="str">
            <v>Cherries: sweet cherries - prices per 100 kg</v>
          </cell>
          <cell r="W63" t="str">
            <v>Cherries: sweet cherries - prices per 100 kg</v>
          </cell>
          <cell r="X63" t="str">
            <v>Cherries: sweet cherries - prices per 100 kg</v>
          </cell>
        </row>
        <row r="64">
          <cell r="A64" t="str">
            <v>06191200</v>
          </cell>
          <cell r="B64">
            <v>3130</v>
          </cell>
          <cell r="C64" t="str">
            <v>u2</v>
          </cell>
          <cell r="D64" t="str">
            <v>g60</v>
          </cell>
          <cell r="E64" t="str">
            <v>Cherries: sour cherries - prices per 100 kg</v>
          </cell>
          <cell r="F64" t="str">
            <v>Cherries: sour cherries - prices per 100 kg</v>
          </cell>
          <cell r="G64" t="str">
            <v>Kirschen: Sauerkirschen (Weichseln)</v>
          </cell>
          <cell r="H64" t="str">
            <v>Cherries: sour cherries - prices per 100 kg</v>
          </cell>
          <cell r="I64" t="str">
            <v>Cherries: sour cherries - prices per 100 kg</v>
          </cell>
          <cell r="J64" t="str">
            <v>Cherries: sour cherries - prices per 100 kg</v>
          </cell>
          <cell r="K64" t="str">
            <v>Cherries: sour cherries - prices per 100 kg</v>
          </cell>
          <cell r="L64" t="str">
            <v>Cherries: sour cherries - prices per 100 kg</v>
          </cell>
          <cell r="M64" t="str">
            <v>Cerises: Morelles aigres</v>
          </cell>
          <cell r="N64" t="str">
            <v>Cherries: sour cherries - prices per 100 kg</v>
          </cell>
          <cell r="O64" t="str">
            <v>Cherries: sour cherries - prices per 100 kg</v>
          </cell>
          <cell r="P64" t="str">
            <v>Cherries: sour cherries - prices per 100 kg</v>
          </cell>
          <cell r="Q64" t="str">
            <v>Cherries: sour cherries - prices per 100 kg</v>
          </cell>
          <cell r="R64" t="str">
            <v>Cherries: sour cherries - prices per 100 kg</v>
          </cell>
          <cell r="S64" t="str">
            <v>Cherries: sour cherries - prices per 100 kg</v>
          </cell>
          <cell r="T64" t="str">
            <v>Cherries: sour cherries - prices per 100 kg</v>
          </cell>
          <cell r="U64" t="str">
            <v>Cherries: sour cherries - prices per 100 kg</v>
          </cell>
          <cell r="V64" t="str">
            <v>Cherries: sour cherries - prices per 100 kg</v>
          </cell>
          <cell r="W64" t="str">
            <v>Cherries: sour cherries - prices per 100 kg</v>
          </cell>
          <cell r="X64" t="str">
            <v>Cherries: sour cherries - prices per 100 kg</v>
          </cell>
        </row>
        <row r="65">
          <cell r="A65" t="str">
            <v>06192000</v>
          </cell>
          <cell r="B65">
            <v>3140</v>
          </cell>
          <cell r="C65" t="str">
            <v>u2</v>
          </cell>
          <cell r="D65" t="str">
            <v>g60</v>
          </cell>
          <cell r="E65" t="str">
            <v xml:space="preserve">Plums: all varieties  - prices per 100 kg    </v>
          </cell>
          <cell r="F65" t="str">
            <v xml:space="preserve">Plums: all varieties  - prices per 100 kg    </v>
          </cell>
          <cell r="G65" t="str">
            <v>Pflaume : alle Arte</v>
          </cell>
          <cell r="H65" t="str">
            <v xml:space="preserve">Plums: all varieties  - prices per 100 kg    </v>
          </cell>
          <cell r="I65" t="str">
            <v xml:space="preserve">Plums: all varieties  - prices per 100 kg    </v>
          </cell>
          <cell r="J65" t="str">
            <v xml:space="preserve">Plums: all varieties  - prices per 100 kg    </v>
          </cell>
          <cell r="K65" t="str">
            <v xml:space="preserve">Plums: all varieties  - prices per 100 kg    </v>
          </cell>
          <cell r="L65" t="str">
            <v xml:space="preserve">Plums: all varieties  - prices per 100 kg    </v>
          </cell>
          <cell r="M65" t="str">
            <v>Prunes : toutes variétés</v>
          </cell>
          <cell r="N65" t="str">
            <v xml:space="preserve">Plums: all varieties  - prices per 100 kg    </v>
          </cell>
          <cell r="O65" t="str">
            <v xml:space="preserve">Plums: all varieties  - prices per 100 kg    </v>
          </cell>
          <cell r="P65" t="str">
            <v xml:space="preserve">Plums: all varieties  - prices per 100 kg    </v>
          </cell>
          <cell r="Q65" t="str">
            <v xml:space="preserve">Plums: all varieties  - prices per 100 kg    </v>
          </cell>
          <cell r="R65" t="str">
            <v xml:space="preserve">Plums: all varieties  - prices per 100 kg    </v>
          </cell>
          <cell r="S65" t="str">
            <v xml:space="preserve">Plums: all varieties  - prices per 100 kg    </v>
          </cell>
          <cell r="T65" t="str">
            <v xml:space="preserve">Plums: all varieties  - prices per 100 kg    </v>
          </cell>
          <cell r="U65" t="str">
            <v xml:space="preserve">Plums: all varieties  - prices per 100 kg    </v>
          </cell>
          <cell r="V65" t="str">
            <v xml:space="preserve">Plums: all varieties  - prices per 100 kg    </v>
          </cell>
          <cell r="W65" t="str">
            <v xml:space="preserve">Plums: all varieties  - prices per 100 kg    </v>
          </cell>
          <cell r="X65" t="str">
            <v xml:space="preserve">Plums: all varieties  - prices per 100 kg    </v>
          </cell>
        </row>
        <row r="66">
          <cell r="A66" t="str">
            <v>06194110</v>
          </cell>
          <cell r="B66">
            <v>3150</v>
          </cell>
          <cell r="C66" t="str">
            <v>u2</v>
          </cell>
          <cell r="D66" t="str">
            <v>g60</v>
          </cell>
          <cell r="E66" t="str">
            <v>Walnuts - prices per 100 kg</v>
          </cell>
          <cell r="F66" t="str">
            <v>Walnuts - prices per 100 kg</v>
          </cell>
          <cell r="G66" t="str">
            <v>Walnüsse</v>
          </cell>
          <cell r="H66" t="str">
            <v>Walnuts - prices per 100 kg</v>
          </cell>
          <cell r="I66" t="str">
            <v>Walnuts - prices per 100 kg</v>
          </cell>
          <cell r="J66" t="str">
            <v>Walnuts - prices per 100 kg</v>
          </cell>
          <cell r="K66" t="str">
            <v>Walnuts - prices per 100 kg</v>
          </cell>
          <cell r="L66" t="str">
            <v>Walnuts - prices per 100 kg</v>
          </cell>
          <cell r="M66" t="str">
            <v>Noix</v>
          </cell>
          <cell r="N66" t="str">
            <v>Walnuts - prices per 100 kg</v>
          </cell>
          <cell r="O66" t="str">
            <v>Walnuts - prices per 100 kg</v>
          </cell>
          <cell r="P66" t="str">
            <v>Walnuts - prices per 100 kg</v>
          </cell>
          <cell r="Q66" t="str">
            <v>Walnuts - prices per 100 kg</v>
          </cell>
          <cell r="R66" t="str">
            <v>Walnuts - prices per 100 kg</v>
          </cell>
          <cell r="S66" t="str">
            <v>Walnuts - prices per 100 kg</v>
          </cell>
          <cell r="T66" t="str">
            <v>Walnuts - prices per 100 kg</v>
          </cell>
          <cell r="U66" t="str">
            <v>Walnuts - prices per 100 kg</v>
          </cell>
          <cell r="V66" t="str">
            <v>Walnuts - prices per 100 kg</v>
          </cell>
          <cell r="W66" t="str">
            <v>Walnuts - prices per 100 kg</v>
          </cell>
          <cell r="X66" t="str">
            <v>Walnuts - prices per 100 kg</v>
          </cell>
        </row>
        <row r="67">
          <cell r="A67" t="str">
            <v>06194120</v>
          </cell>
          <cell r="B67">
            <v>1362</v>
          </cell>
          <cell r="C67" t="str">
            <v>u2</v>
          </cell>
          <cell r="D67" t="str">
            <v>g62</v>
          </cell>
          <cell r="E67" t="str">
            <v>Hazelnuts - prices per 100 kg</v>
          </cell>
          <cell r="F67" t="str">
            <v>Hazelnuts - prices per 100 kg</v>
          </cell>
          <cell r="G67" t="str">
            <v>Haselnüsse</v>
          </cell>
          <cell r="H67" t="str">
            <v>Hazelnuts - prices per 100 kg</v>
          </cell>
          <cell r="I67" t="str">
            <v>Hazelnuts - prices per 100 kg</v>
          </cell>
          <cell r="J67" t="str">
            <v>Hazelnuts - prices per 100 kg</v>
          </cell>
          <cell r="K67" t="str">
            <v>Hazelnuts - prices per 100 kg</v>
          </cell>
          <cell r="L67" t="str">
            <v>Hazelnuts - prices per 100 kg</v>
          </cell>
          <cell r="M67" t="str">
            <v>Noisettes</v>
          </cell>
          <cell r="N67" t="str">
            <v>Hazelnuts - prices per 100 kg</v>
          </cell>
          <cell r="O67" t="str">
            <v>Hazelnuts - prices per 100 kg</v>
          </cell>
          <cell r="P67" t="str">
            <v>Hazelnuts - prices per 100 kg</v>
          </cell>
          <cell r="Q67" t="str">
            <v>Hazelnuts - prices per 100 kg</v>
          </cell>
          <cell r="R67" t="str">
            <v>Hazelnuts - prices per 100 kg</v>
          </cell>
          <cell r="S67" t="str">
            <v>Hazelnuts - prices per 100 kg</v>
          </cell>
          <cell r="T67" t="str">
            <v>Hazelnuts - prices per 100 kg</v>
          </cell>
          <cell r="U67" t="str">
            <v>Hazelnuts - prices per 100 kg</v>
          </cell>
          <cell r="V67" t="str">
            <v>Hazelnuts - prices per 100 kg</v>
          </cell>
          <cell r="W67" t="str">
            <v>Hazelnuts - prices per 100 kg</v>
          </cell>
          <cell r="X67" t="str">
            <v>Hazelnuts - prices per 100 kg</v>
          </cell>
        </row>
        <row r="68">
          <cell r="A68" t="str">
            <v>06194130</v>
          </cell>
          <cell r="B68">
            <v>1361</v>
          </cell>
          <cell r="C68" t="str">
            <v>u2</v>
          </cell>
          <cell r="D68" t="str">
            <v>g62</v>
          </cell>
          <cell r="E68" t="str">
            <v>Almonds - prices per 100 kg</v>
          </cell>
          <cell r="F68" t="str">
            <v>Almonds - prices per 100 kg</v>
          </cell>
          <cell r="G68" t="str">
            <v>Mandeln</v>
          </cell>
          <cell r="H68" t="str">
            <v>Almonds - prices per 100 kg</v>
          </cell>
          <cell r="I68" t="str">
            <v>Almonds - prices per 100 kg</v>
          </cell>
          <cell r="J68" t="str">
            <v>Almonds - prices per 100 kg</v>
          </cell>
          <cell r="K68" t="str">
            <v>Almonds - prices per 100 kg</v>
          </cell>
          <cell r="L68" t="str">
            <v>Almonds - prices per 100 kg</v>
          </cell>
          <cell r="M68" t="str">
            <v>Amandes</v>
          </cell>
          <cell r="N68" t="str">
            <v>Almonds - prices per 100 kg</v>
          </cell>
          <cell r="O68" t="str">
            <v>Almonds - prices per 100 kg</v>
          </cell>
          <cell r="P68" t="str">
            <v>Almonds - prices per 100 kg</v>
          </cell>
          <cell r="Q68" t="str">
            <v>Almonds - prices per 100 kg</v>
          </cell>
          <cell r="R68" t="str">
            <v>Almonds - prices per 100 kg</v>
          </cell>
          <cell r="S68" t="str">
            <v>Almonds - prices per 100 kg</v>
          </cell>
          <cell r="T68" t="str">
            <v>Almonds - prices per 100 kg</v>
          </cell>
          <cell r="U68" t="str">
            <v>Almonds - prices per 100 kg</v>
          </cell>
          <cell r="V68" t="str">
            <v>Almonds - prices per 100 kg</v>
          </cell>
          <cell r="W68" t="str">
            <v>Almonds - prices per 100 kg</v>
          </cell>
          <cell r="X68" t="str">
            <v>Almonds - prices per 100 kg</v>
          </cell>
        </row>
        <row r="69">
          <cell r="A69" t="str">
            <v>06194140</v>
          </cell>
          <cell r="C69" t="str">
            <v>u2</v>
          </cell>
          <cell r="D69" t="str">
            <v>g69</v>
          </cell>
          <cell r="E69" t="str">
            <v>Chestnuts - prices per 100 kg</v>
          </cell>
          <cell r="F69" t="str">
            <v>Chestnuts - prices per 100 kg</v>
          </cell>
          <cell r="G69" t="str">
            <v>Esskastanien</v>
          </cell>
          <cell r="H69" t="str">
            <v>Chestnuts - prices per 100 kg</v>
          </cell>
          <cell r="I69" t="str">
            <v>Chestnuts - prices per 100 kg</v>
          </cell>
          <cell r="J69" t="str">
            <v>Chestnuts - prices per 100 kg</v>
          </cell>
          <cell r="K69" t="str">
            <v>Chestnuts - prices per 100 kg</v>
          </cell>
          <cell r="L69" t="str">
            <v>Chestnuts - prices per 100 kg</v>
          </cell>
          <cell r="M69" t="str">
            <v>Châtaignes</v>
          </cell>
          <cell r="N69" t="str">
            <v>Chestnuts - prices per 100 kg</v>
          </cell>
          <cell r="O69" t="str">
            <v>Chestnuts - prices per 100 kg</v>
          </cell>
          <cell r="P69" t="str">
            <v>Chestnuts - prices per 100 kg</v>
          </cell>
          <cell r="Q69" t="str">
            <v>Chestnuts - prices per 100 kg</v>
          </cell>
          <cell r="R69" t="str">
            <v>Chestnuts - prices per 100 kg</v>
          </cell>
          <cell r="S69" t="str">
            <v>Chestnuts - prices per 100 kg</v>
          </cell>
          <cell r="T69" t="str">
            <v>Chestnuts - prices per 100 kg</v>
          </cell>
          <cell r="U69" t="str">
            <v>Chestnuts - prices per 100 kg</v>
          </cell>
          <cell r="V69" t="str">
            <v>Chestnuts - prices per 100 kg</v>
          </cell>
          <cell r="W69" t="str">
            <v>Chestnuts - prices per 100 kg</v>
          </cell>
          <cell r="X69" t="str">
            <v>Chestnuts - prices per 100 kg</v>
          </cell>
        </row>
        <row r="70">
          <cell r="A70" t="str">
            <v>06194200</v>
          </cell>
          <cell r="C70" t="str">
            <v>u2</v>
          </cell>
          <cell r="D70" t="str">
            <v>g52</v>
          </cell>
          <cell r="E70" t="str">
            <v>Dried fruit - prices per 100 Kg</v>
          </cell>
          <cell r="F70" t="str">
            <v>Dried fruit - prices per 100 Kg</v>
          </cell>
          <cell r="G70" t="str">
            <v>Trockene Fruchte</v>
          </cell>
          <cell r="H70" t="str">
            <v>Dried fruit - prices per 100 Kg</v>
          </cell>
          <cell r="I70" t="str">
            <v>Dried fruit - prices per 100 Kg</v>
          </cell>
          <cell r="J70" t="str">
            <v>Dried fruit - prices per 100 Kg</v>
          </cell>
          <cell r="K70" t="str">
            <v>Dried fruit - prices per 100 Kg</v>
          </cell>
          <cell r="L70" t="str">
            <v>Dried fruit - prices per 100 Kg</v>
          </cell>
          <cell r="M70" t="str">
            <v>Fruits séchés</v>
          </cell>
          <cell r="N70" t="str">
            <v>Dried fruit - prices per 100 Kg</v>
          </cell>
          <cell r="O70" t="str">
            <v>Dried fruit - prices per 100 Kg</v>
          </cell>
          <cell r="P70" t="str">
            <v>Dried fruit - prices per 100 Kg</v>
          </cell>
          <cell r="Q70" t="str">
            <v>Dried fruit - prices per 100 Kg</v>
          </cell>
          <cell r="R70" t="str">
            <v>Dried fruit - prices per 100 Kg</v>
          </cell>
          <cell r="S70" t="str">
            <v>Dried fruit - prices per 100 Kg</v>
          </cell>
          <cell r="T70" t="str">
            <v>Dried fruit - prices per 100 Kg</v>
          </cell>
          <cell r="U70" t="str">
            <v>Dried fruit - prices per 100 Kg</v>
          </cell>
          <cell r="V70" t="str">
            <v>Dried fruit - prices per 100 Kg</v>
          </cell>
          <cell r="W70" t="str">
            <v>Dried fruit - prices per 100 Kg</v>
          </cell>
          <cell r="X70" t="str">
            <v>Dried fruit - prices per 100 Kg</v>
          </cell>
        </row>
        <row r="71">
          <cell r="A71" t="str">
            <v>06194201</v>
          </cell>
          <cell r="B71">
            <v>2251</v>
          </cell>
          <cell r="C71" t="str">
            <v>u2</v>
          </cell>
          <cell r="D71" t="str">
            <v>g20</v>
          </cell>
          <cell r="E71" t="str">
            <v>Fresh figs-prices per 100 kg</v>
          </cell>
          <cell r="F71" t="str">
            <v>Fresh figs-prices per 100 kg</v>
          </cell>
          <cell r="G71" t="str">
            <v>Feigen - frisch</v>
          </cell>
          <cell r="H71" t="str">
            <v>Fresh figs-prices per 100 kg</v>
          </cell>
          <cell r="I71" t="str">
            <v>Fresh figs-prices per 100 kg</v>
          </cell>
          <cell r="J71" t="str">
            <v>Fresh figs-prices per 100 kg</v>
          </cell>
          <cell r="K71" t="str">
            <v>Fresh figs-prices per 100 kg</v>
          </cell>
          <cell r="L71" t="str">
            <v>Fresh figs-prices per 100 kg</v>
          </cell>
          <cell r="M71" t="str">
            <v>Figues fraîches</v>
          </cell>
          <cell r="N71" t="str">
            <v>Fresh figs-prices per 100 kg</v>
          </cell>
          <cell r="O71" t="str">
            <v>Fresh figs-prices per 100 kg</v>
          </cell>
          <cell r="P71" t="str">
            <v>Fresh figs-prices per 100 kg</v>
          </cell>
          <cell r="Q71" t="str">
            <v>Fresh figs-prices per 100 kg</v>
          </cell>
          <cell r="R71" t="str">
            <v>Fresh figs-prices per 100 kg</v>
          </cell>
          <cell r="S71" t="str">
            <v>Fresh figs-prices per 100 kg</v>
          </cell>
          <cell r="T71" t="str">
            <v>Fresh figs-prices per 100 kg</v>
          </cell>
          <cell r="U71" t="str">
            <v>Fresh figs-prices per 100 kg</v>
          </cell>
          <cell r="V71" t="str">
            <v>Fresh figs-prices per 100 kg</v>
          </cell>
          <cell r="W71" t="str">
            <v>Fresh figs-prices per 100 kg</v>
          </cell>
          <cell r="X71" t="str">
            <v>Fresh figs-prices per 100 kg</v>
          </cell>
        </row>
        <row r="72">
          <cell r="A72" t="str">
            <v>06193100</v>
          </cell>
          <cell r="B72">
            <v>2131</v>
          </cell>
          <cell r="C72" t="str">
            <v>u2</v>
          </cell>
          <cell r="D72" t="str">
            <v>g21</v>
          </cell>
          <cell r="E72" t="str">
            <v>Strawberries in the open - prices per 100 kg</v>
          </cell>
          <cell r="F72" t="str">
            <v>Strawberries in the open - prices per 100 kg</v>
          </cell>
          <cell r="G72" t="str">
            <v>Erdbeeren (Freiland)</v>
          </cell>
          <cell r="H72" t="str">
            <v>Strawberries in the open - prices per 100 kg</v>
          </cell>
          <cell r="I72" t="str">
            <v>Strawberries in the open - prices per 100 kg</v>
          </cell>
          <cell r="J72" t="str">
            <v>Strawberries in the open - prices per 100 kg</v>
          </cell>
          <cell r="K72" t="str">
            <v>Strawberries in the open - prices per 100 kg</v>
          </cell>
          <cell r="L72" t="str">
            <v>Strawberries in the open - prices per 100 kg</v>
          </cell>
          <cell r="M72" t="str">
            <v>Fraises de pleine terre</v>
          </cell>
          <cell r="N72" t="str">
            <v>Strawberries in the open - prices per 100 kg</v>
          </cell>
          <cell r="O72" t="str">
            <v>Strawberries in the open - prices per 100 kg</v>
          </cell>
          <cell r="P72" t="str">
            <v>Strawberries in the open - prices per 100 kg</v>
          </cell>
          <cell r="Q72" t="str">
            <v>Strawberries in the open - prices per 100 kg</v>
          </cell>
          <cell r="R72" t="str">
            <v>Strawberries in the open - prices per 100 kg</v>
          </cell>
          <cell r="S72" t="str">
            <v>Strawberries in the open - prices per 100 kg</v>
          </cell>
          <cell r="T72" t="str">
            <v>Strawberries in the open - prices per 100 kg</v>
          </cell>
          <cell r="U72" t="str">
            <v>Strawberries in the open - prices per 100 kg</v>
          </cell>
          <cell r="V72" t="str">
            <v>Strawberries in the open - prices per 100 kg</v>
          </cell>
          <cell r="W72" t="str">
            <v>Strawberries in the open - prices per 100 kg</v>
          </cell>
          <cell r="X72" t="str">
            <v>Strawberries in the open - prices per 100 kg</v>
          </cell>
        </row>
        <row r="73">
          <cell r="A73" t="str">
            <v>06193200</v>
          </cell>
          <cell r="B73">
            <v>2181</v>
          </cell>
          <cell r="C73" t="str">
            <v>u2</v>
          </cell>
          <cell r="D73" t="str">
            <v>g22</v>
          </cell>
          <cell r="E73" t="str">
            <v>Strawberries under glass - prices per 100 kg</v>
          </cell>
          <cell r="F73" t="str">
            <v>Strawberries under glass - prices per 100 kg</v>
          </cell>
          <cell r="G73" t="str">
            <v>Erdbeeren  (unter Glas)</v>
          </cell>
          <cell r="H73" t="str">
            <v>Strawberries under glass - prices per 100 kg</v>
          </cell>
          <cell r="I73" t="str">
            <v>Strawberries under glass - prices per 100 kg</v>
          </cell>
          <cell r="J73" t="str">
            <v>Strawberries under glass - prices per 100 kg</v>
          </cell>
          <cell r="K73" t="str">
            <v>Strawberries under glass - prices per 100 kg</v>
          </cell>
          <cell r="L73" t="str">
            <v>Strawberries under glass - prices per 100 kg</v>
          </cell>
          <cell r="M73" t="str">
            <v>Fraises de serre</v>
          </cell>
          <cell r="N73" t="str">
            <v>Strawberries under glass - prices per 100 kg</v>
          </cell>
          <cell r="O73" t="str">
            <v>Strawberries under glass - prices per 100 kg</v>
          </cell>
          <cell r="P73" t="str">
            <v>Strawberries under glass - prices per 100 kg</v>
          </cell>
          <cell r="Q73" t="str">
            <v>Strawberries under glass - prices per 100 kg</v>
          </cell>
          <cell r="R73" t="str">
            <v>Strawberries under glass - prices per 100 kg</v>
          </cell>
          <cell r="S73" t="str">
            <v>Strawberries under glass - prices per 100 kg</v>
          </cell>
          <cell r="T73" t="str">
            <v>Strawberries under glass - prices per 100 kg</v>
          </cell>
          <cell r="U73" t="str">
            <v>Strawberries under glass - prices per 100 kg</v>
          </cell>
          <cell r="V73" t="str">
            <v>Strawberries under glass - prices per 100 kg</v>
          </cell>
          <cell r="W73" t="str">
            <v>Strawberries under glass - prices per 100 kg</v>
          </cell>
          <cell r="X73" t="str">
            <v>Strawberries under glass - prices per 100 kg</v>
          </cell>
        </row>
        <row r="74">
          <cell r="A74" t="str">
            <v>06193000</v>
          </cell>
          <cell r="B74">
            <v>2201</v>
          </cell>
          <cell r="C74" t="str">
            <v>u2</v>
          </cell>
          <cell r="D74" t="str">
            <v>g43</v>
          </cell>
          <cell r="E74" t="str">
            <v>Strawberries: all types of production - prices per 100 kg</v>
          </cell>
          <cell r="F74" t="str">
            <v>Strawberries: all types of production - prices per 100 kg</v>
          </cell>
          <cell r="G74" t="str">
            <v>Erdbeeren: alle Arten der Produktion</v>
          </cell>
          <cell r="H74" t="str">
            <v>Strawberries: all types of production - prices per 100 kg</v>
          </cell>
          <cell r="I74" t="str">
            <v>Strawberries: all types of production - prices per 100 kg</v>
          </cell>
          <cell r="J74" t="str">
            <v>Strawberries: all types of production - prices per 100 kg</v>
          </cell>
          <cell r="K74" t="str">
            <v>Strawberries: all types of production - prices per 100 kg</v>
          </cell>
          <cell r="L74" t="str">
            <v>Strawberries: all types of production - prices per 100 kg</v>
          </cell>
          <cell r="M74" t="str">
            <v>Fraises tous types de production</v>
          </cell>
          <cell r="N74" t="str">
            <v>Strawberries: all types of production - prices per 100 kg</v>
          </cell>
          <cell r="O74" t="str">
            <v>Strawberries: all types of production - prices per 100 kg</v>
          </cell>
          <cell r="P74" t="str">
            <v>Strawberries: all types of production - prices per 100 kg</v>
          </cell>
          <cell r="Q74" t="str">
            <v>Strawberries: all types of production - prices per 100 kg</v>
          </cell>
          <cell r="R74" t="str">
            <v>Strawberries: all types of production - prices per 100 kg</v>
          </cell>
          <cell r="S74" t="str">
            <v>Strawberries: all types of production - prices per 100 kg</v>
          </cell>
          <cell r="T74" t="str">
            <v>Strawberries: all types of production - prices per 100 kg</v>
          </cell>
          <cell r="U74" t="str">
            <v>Strawberries: all types of production - prices per 100 kg</v>
          </cell>
          <cell r="V74" t="str">
            <v>Strawberries: all types of production - prices per 100 kg</v>
          </cell>
          <cell r="W74" t="str">
            <v>Strawberries: all types of production - prices per 100 kg</v>
          </cell>
          <cell r="X74" t="str">
            <v>Strawberries: all types of production - prices per 100 kg</v>
          </cell>
        </row>
        <row r="75">
          <cell r="A75" t="str">
            <v>06210000</v>
          </cell>
          <cell r="B75">
            <v>2202</v>
          </cell>
          <cell r="C75" t="str">
            <v>u2</v>
          </cell>
          <cell r="D75" t="str">
            <v>g43</v>
          </cell>
          <cell r="E75" t="str">
            <v>Oranges: all varieties - prices per 100 kg</v>
          </cell>
          <cell r="F75" t="str">
            <v>Oranges: all varieties - prices per 100 kg</v>
          </cell>
          <cell r="G75" t="str">
            <v>Orangen: alle Sorten</v>
          </cell>
          <cell r="H75" t="str">
            <v>Oranges: all varieties - prices per 100 kg</v>
          </cell>
          <cell r="I75" t="str">
            <v>Oranges: all varieties - prices per 100 kg</v>
          </cell>
          <cell r="J75" t="str">
            <v>Oranges: all varieties - prices per 100 kg</v>
          </cell>
          <cell r="K75" t="str">
            <v>Oranges: all varieties - prices per 100 kg</v>
          </cell>
          <cell r="L75" t="str">
            <v>Oranges: all varieties - prices per 100 kg</v>
          </cell>
          <cell r="M75" t="str">
            <v>Oranges: ensemble des variétés</v>
          </cell>
          <cell r="N75" t="str">
            <v>Oranges: all varieties - prices per 100 kg</v>
          </cell>
          <cell r="O75" t="str">
            <v>Oranges: all varieties - prices per 100 kg</v>
          </cell>
          <cell r="P75" t="str">
            <v>Oranges: all varieties - prices per 100 kg</v>
          </cell>
          <cell r="Q75" t="str">
            <v>Oranges: all varieties - prices per 100 kg</v>
          </cell>
          <cell r="R75" t="str">
            <v>Oranges: all varieties - prices per 100 kg</v>
          </cell>
          <cell r="S75" t="str">
            <v>Oranges: all varieties - prices per 100 kg</v>
          </cell>
          <cell r="T75" t="str">
            <v>Oranges: all varieties - prices per 100 kg</v>
          </cell>
          <cell r="U75" t="str">
            <v>Oranges: all varieties - prices per 100 kg</v>
          </cell>
          <cell r="V75" t="str">
            <v>Oranges: all varieties - prices per 100 kg</v>
          </cell>
          <cell r="W75" t="str">
            <v>Oranges: all varieties - prices per 100 kg</v>
          </cell>
          <cell r="X75" t="str">
            <v>Oranges: all varieties - prices per 100 kg</v>
          </cell>
        </row>
        <row r="76">
          <cell r="A76" t="str">
            <v>06220000</v>
          </cell>
          <cell r="C76" t="str">
            <v>u2</v>
          </cell>
          <cell r="D76" t="str">
            <v>g43</v>
          </cell>
          <cell r="E76" t="str">
            <v>Mandarins: all varieties - prices per 100 kg</v>
          </cell>
          <cell r="F76" t="str">
            <v>Mandarins: all varieties - prices per 100 kg</v>
          </cell>
          <cell r="G76" t="str">
            <v>Mandarinen: alle Sorten</v>
          </cell>
          <cell r="H76" t="str">
            <v>Mandarins: all varieties - prices per 100 kg</v>
          </cell>
          <cell r="I76" t="str">
            <v>Mandarins: all varieties - prices per 100 kg</v>
          </cell>
          <cell r="J76" t="str">
            <v>Mandarins: all varieties - prices per 100 kg</v>
          </cell>
          <cell r="K76" t="str">
            <v>Mandarins: all varieties - prices per 100 kg</v>
          </cell>
          <cell r="L76" t="str">
            <v>Mandarins: all varieties - prices per 100 kg</v>
          </cell>
          <cell r="M76" t="str">
            <v>Mandarines: ensemble des variétés</v>
          </cell>
          <cell r="N76" t="str">
            <v>Mandarins: all varieties - prices per 100 kg</v>
          </cell>
          <cell r="O76" t="str">
            <v>Mandarins: all varieties - prices per 100 kg</v>
          </cell>
          <cell r="P76" t="str">
            <v>Mandarins: all varieties - prices per 100 kg</v>
          </cell>
          <cell r="Q76" t="str">
            <v>Mandarins: all varieties - prices per 100 kg</v>
          </cell>
          <cell r="R76" t="str">
            <v>Mandarins: all varieties - prices per 100 kg</v>
          </cell>
          <cell r="S76" t="str">
            <v>Mandarins: all varieties - prices per 100 kg</v>
          </cell>
          <cell r="T76" t="str">
            <v>Mandarins: all varieties - prices per 100 kg</v>
          </cell>
          <cell r="U76" t="str">
            <v>Mandarins: all varieties - prices per 100 kg</v>
          </cell>
          <cell r="V76" t="str">
            <v>Mandarins: all varieties - prices per 100 kg</v>
          </cell>
          <cell r="W76" t="str">
            <v>Mandarins: all varieties - prices per 100 kg</v>
          </cell>
          <cell r="X76" t="str">
            <v>Mandarins: all varieties - prices per 100 kg</v>
          </cell>
        </row>
        <row r="77">
          <cell r="A77" t="str">
            <v>06230000</v>
          </cell>
          <cell r="B77">
            <v>2263</v>
          </cell>
          <cell r="C77" t="str">
            <v>u2</v>
          </cell>
          <cell r="D77" t="str">
            <v>g43</v>
          </cell>
          <cell r="E77" t="str">
            <v>Lemons: all varieties - prices per 100 kg</v>
          </cell>
          <cell r="F77" t="str">
            <v>Lemons: all varieties - prices per 100 kg</v>
          </cell>
          <cell r="G77" t="str">
            <v>Zitronen: alle Sorten</v>
          </cell>
          <cell r="H77" t="str">
            <v>Lemons: all varieties - prices per 100 kg</v>
          </cell>
          <cell r="I77" t="str">
            <v>Lemons: all varieties - prices per 100 kg</v>
          </cell>
          <cell r="J77" t="str">
            <v>Lemons: all varieties - prices per 100 kg</v>
          </cell>
          <cell r="K77" t="str">
            <v>Lemons: all varieties - prices per 100 kg</v>
          </cell>
          <cell r="L77" t="str">
            <v>Lemons: all varieties - prices per 100 kg</v>
          </cell>
          <cell r="M77" t="str">
            <v>Citrons: ensemble des variétés</v>
          </cell>
          <cell r="N77" t="str">
            <v>Lemons: all varieties - prices per 100 kg</v>
          </cell>
          <cell r="O77" t="str">
            <v>Lemons: all varieties - prices per 100 kg</v>
          </cell>
          <cell r="P77" t="str">
            <v>Lemons: all varieties - prices per 100 kg</v>
          </cell>
          <cell r="Q77" t="str">
            <v>Lemons: all varieties - prices per 100 kg</v>
          </cell>
          <cell r="R77" t="str">
            <v>Lemons: all varieties - prices per 100 kg</v>
          </cell>
          <cell r="S77" t="str">
            <v>Lemons: all varieties - prices per 100 kg</v>
          </cell>
          <cell r="T77" t="str">
            <v>Lemons: all varieties - prices per 100 kg</v>
          </cell>
          <cell r="U77" t="str">
            <v>Lemons: all varieties - prices per 100 kg</v>
          </cell>
          <cell r="V77" t="str">
            <v>Lemons: all varieties - prices per 100 kg</v>
          </cell>
          <cell r="W77" t="str">
            <v>Lemons: all varieties - prices per 100 kg</v>
          </cell>
          <cell r="X77" t="str">
            <v>Lemons: all varieties - prices per 100 kg</v>
          </cell>
        </row>
        <row r="78">
          <cell r="A78" t="str">
            <v>06290000</v>
          </cell>
          <cell r="B78">
            <v>2261</v>
          </cell>
          <cell r="C78" t="str">
            <v>u2</v>
          </cell>
          <cell r="D78" t="str">
            <v>g43</v>
          </cell>
          <cell r="E78" t="str">
            <v>Other citrus fruit- prices per 100 kg</v>
          </cell>
          <cell r="F78" t="str">
            <v>Other citrus fruit- prices per 100 kg</v>
          </cell>
          <cell r="G78" t="str">
            <v>Andere Zitrusfrüchte</v>
          </cell>
          <cell r="H78" t="str">
            <v>Other citrus fruit- prices per 100 kg</v>
          </cell>
          <cell r="I78" t="str">
            <v>Other citrus fruit- prices per 100 kg</v>
          </cell>
          <cell r="J78" t="str">
            <v>Other citrus fruit- prices per 100 kg</v>
          </cell>
          <cell r="K78" t="str">
            <v>Other citrus fruit- prices per 100 kg</v>
          </cell>
          <cell r="L78" t="str">
            <v>Other citrus fruit- prices per 100 kg</v>
          </cell>
          <cell r="M78" t="str">
            <v>Autres fruits citrus</v>
          </cell>
          <cell r="N78" t="str">
            <v>Other citrus fruit- prices per 100 kg</v>
          </cell>
          <cell r="O78" t="str">
            <v>Other citrus fruit- prices per 100 kg</v>
          </cell>
          <cell r="P78" t="str">
            <v>Other citrus fruit- prices per 100 kg</v>
          </cell>
          <cell r="Q78" t="str">
            <v>Other citrus fruit- prices per 100 kg</v>
          </cell>
          <cell r="R78" t="str">
            <v>Other citrus fruit- prices per 100 kg</v>
          </cell>
          <cell r="S78" t="str">
            <v>Other citrus fruit- prices per 100 kg</v>
          </cell>
          <cell r="T78" t="str">
            <v>Other citrus fruit- prices per 100 kg</v>
          </cell>
          <cell r="U78" t="str">
            <v>Other citrus fruit- prices per 100 kg</v>
          </cell>
          <cell r="V78" t="str">
            <v>Other citrus fruit- prices per 100 kg</v>
          </cell>
          <cell r="W78" t="str">
            <v>Other citrus fruit- prices per 100 kg</v>
          </cell>
          <cell r="X78" t="str">
            <v>Other citrus fruit- prices per 100 kg</v>
          </cell>
        </row>
        <row r="79">
          <cell r="A79" t="str">
            <v>06410000</v>
          </cell>
          <cell r="B79">
            <v>2262</v>
          </cell>
          <cell r="C79" t="str">
            <v>u2</v>
          </cell>
          <cell r="D79" t="str">
            <v>g43</v>
          </cell>
          <cell r="E79" t="str">
            <v>Dessert grapes: all varieties - prices per 100 kg</v>
          </cell>
          <cell r="F79" t="str">
            <v>Dessert grapes: all varieties - prices per 100 kg</v>
          </cell>
          <cell r="G79" t="str">
            <v>Tafeltrauben: alle Sorten</v>
          </cell>
          <cell r="H79" t="str">
            <v>Dessert grapes: all varieties - prices per 100 kg</v>
          </cell>
          <cell r="I79" t="str">
            <v>Dessert grapes: all varieties - prices per 100 kg</v>
          </cell>
          <cell r="J79" t="str">
            <v>Dessert grapes: all varieties - prices per 100 kg</v>
          </cell>
          <cell r="K79" t="str">
            <v>Dessert grapes: all varieties - prices per 100 kg</v>
          </cell>
          <cell r="L79" t="str">
            <v>Dessert grapes: all varieties - prices per 100 kg</v>
          </cell>
          <cell r="M79" t="str">
            <v>Raisin de table: ensemble des variétés</v>
          </cell>
          <cell r="N79" t="str">
            <v>Dessert grapes: all varieties - prices per 100 kg</v>
          </cell>
          <cell r="O79" t="str">
            <v>Dessert grapes: all varieties - prices per 100 kg</v>
          </cell>
          <cell r="P79" t="str">
            <v>Dessert grapes: all varieties - prices per 100 kg</v>
          </cell>
          <cell r="Q79" t="str">
            <v>Dessert grapes: all varieties - prices per 100 kg</v>
          </cell>
          <cell r="R79" t="str">
            <v>Dessert grapes: all varieties - prices per 100 kg</v>
          </cell>
          <cell r="S79" t="str">
            <v>Dessert grapes: all varieties - prices per 100 kg</v>
          </cell>
          <cell r="T79" t="str">
            <v>Dessert grapes: all varieties - prices per 100 kg</v>
          </cell>
          <cell r="U79" t="str">
            <v>Dessert grapes: all varieties - prices per 100 kg</v>
          </cell>
          <cell r="V79" t="str">
            <v>Dessert grapes: all varieties - prices per 100 kg</v>
          </cell>
          <cell r="W79" t="str">
            <v>Dessert grapes: all varieties - prices per 100 kg</v>
          </cell>
          <cell r="X79" t="str">
            <v>Dessert grapes: all varieties - prices per 100 kg</v>
          </cell>
        </row>
        <row r="80">
          <cell r="A80" t="str">
            <v>06490000</v>
          </cell>
          <cell r="B80">
            <v>2231</v>
          </cell>
          <cell r="C80" t="str">
            <v>u2</v>
          </cell>
          <cell r="D80" t="str">
            <v>g45</v>
          </cell>
          <cell r="E80" t="str">
            <v>Grapes for wine production (prices per 100 kg) - prices per 100 kg</v>
          </cell>
          <cell r="F80" t="str">
            <v>Grapes for wine production (prices per 100 kg) - prices per 100 kg</v>
          </cell>
          <cell r="G80" t="str">
            <v>Trauben zur Weinherstellung</v>
          </cell>
          <cell r="H80" t="str">
            <v>Grapes for wine production (prices per 100 kg) - prices per 100 kg</v>
          </cell>
          <cell r="I80" t="str">
            <v>Grapes for wine production (prices per 100 kg) - prices per 100 kg</v>
          </cell>
          <cell r="J80" t="str">
            <v>Grapes for wine production (prices per 100 kg) - prices per 100 kg</v>
          </cell>
          <cell r="K80" t="str">
            <v>Grapes for wine production (prices per 100 kg) - prices per 100 kg</v>
          </cell>
          <cell r="L80" t="str">
            <v>Grapes for wine production (prices per 100 kg) - prices per 100 kg</v>
          </cell>
          <cell r="M80" t="str">
            <v>Raisins destinés à la vinification</v>
          </cell>
          <cell r="N80" t="str">
            <v>Grapes for wine production (prices per 100 kg) - prices per 100 kg</v>
          </cell>
          <cell r="O80" t="str">
            <v>Grapes for wine production (prices per 100 kg) - prices per 100 kg</v>
          </cell>
          <cell r="P80" t="str">
            <v>Grapes for wine production (prices per 100 kg) - prices per 100 kg</v>
          </cell>
          <cell r="Q80" t="str">
            <v>Grapes for wine production (prices per 100 kg) - prices per 100 kg</v>
          </cell>
          <cell r="R80" t="str">
            <v>Grapes for wine production (prices per 100 kg) - prices per 100 kg</v>
          </cell>
          <cell r="S80" t="str">
            <v>Grapes for wine production (prices per 100 kg) - prices per 100 kg</v>
          </cell>
          <cell r="T80" t="str">
            <v>Grapes for wine production (prices per 100 kg) - prices per 100 kg</v>
          </cell>
          <cell r="U80" t="str">
            <v>Grapes for wine production (prices per 100 kg) - prices per 100 kg</v>
          </cell>
          <cell r="V80" t="str">
            <v>Grapes for wine production (prices per 100 kg) - prices per 100 kg</v>
          </cell>
          <cell r="W80" t="str">
            <v>Grapes for wine production (prices per 100 kg) - prices per 100 kg</v>
          </cell>
          <cell r="X80" t="str">
            <v>Grapes for wine production (prices per 100 kg) - prices per 100 kg</v>
          </cell>
        </row>
        <row r="81">
          <cell r="A81" t="str">
            <v>06510000</v>
          </cell>
          <cell r="B81">
            <v>2232</v>
          </cell>
          <cell r="C81" t="str">
            <v>u2</v>
          </cell>
          <cell r="D81" t="str">
            <v>g45</v>
          </cell>
          <cell r="E81" t="str">
            <v>Table olives - prices per 100 kg</v>
          </cell>
          <cell r="F81" t="str">
            <v>Table olives - prices per 100 kg</v>
          </cell>
          <cell r="G81" t="str">
            <v>Tafeloliven</v>
          </cell>
          <cell r="H81" t="str">
            <v>Table olives - prices per 100 kg</v>
          </cell>
          <cell r="I81" t="str">
            <v>Table olives - prices per 100 kg</v>
          </cell>
          <cell r="J81" t="str">
            <v>Table olives - prices per 100 kg</v>
          </cell>
          <cell r="K81" t="str">
            <v>Table olives - prices per 100 kg</v>
          </cell>
          <cell r="L81" t="str">
            <v>Table olives - prices per 100 kg</v>
          </cell>
          <cell r="M81" t="str">
            <v>Olives de table</v>
          </cell>
          <cell r="N81" t="str">
            <v>Table olives - prices per 100 kg</v>
          </cell>
          <cell r="O81" t="str">
            <v>Table olives - prices per 100 kg</v>
          </cell>
          <cell r="P81" t="str">
            <v>Table olives - prices per 100 kg</v>
          </cell>
          <cell r="Q81" t="str">
            <v>Table olives - prices per 100 kg</v>
          </cell>
          <cell r="R81" t="str">
            <v>Table olives - prices per 100 kg</v>
          </cell>
          <cell r="S81" t="str">
            <v>Table olives - prices per 100 kg</v>
          </cell>
          <cell r="T81" t="str">
            <v>Table olives - prices per 100 kg</v>
          </cell>
          <cell r="U81" t="str">
            <v>Table olives - prices per 100 kg</v>
          </cell>
          <cell r="V81" t="str">
            <v>Table olives - prices per 100 kg</v>
          </cell>
          <cell r="W81" t="str">
            <v>Table olives - prices per 100 kg</v>
          </cell>
          <cell r="X81" t="str">
            <v>Table olives - prices per 100 kg</v>
          </cell>
        </row>
        <row r="82">
          <cell r="A82" t="str">
            <v>06590000</v>
          </cell>
          <cell r="B82">
            <v>2233</v>
          </cell>
          <cell r="C82" t="str">
            <v>u2</v>
          </cell>
          <cell r="D82" t="str">
            <v>g45</v>
          </cell>
          <cell r="E82" t="str">
            <v>Other olives - prices per 100 kg</v>
          </cell>
          <cell r="F82" t="str">
            <v>Other olives - prices per 100 kg</v>
          </cell>
          <cell r="G82" t="str">
            <v>Andere Oliven</v>
          </cell>
          <cell r="H82" t="str">
            <v>Other olives - prices per 100 kg</v>
          </cell>
          <cell r="I82" t="str">
            <v>Other olives - prices per 100 kg</v>
          </cell>
          <cell r="J82" t="str">
            <v>Other olives - prices per 100 kg</v>
          </cell>
          <cell r="K82" t="str">
            <v>Other olives - prices per 100 kg</v>
          </cell>
          <cell r="L82" t="str">
            <v>Other olives - prices per 100 kg</v>
          </cell>
          <cell r="M82" t="str">
            <v>Autres olives</v>
          </cell>
          <cell r="N82" t="str">
            <v>Other olives - prices per 100 kg</v>
          </cell>
          <cell r="O82" t="str">
            <v>Other olives - prices per 100 kg</v>
          </cell>
          <cell r="P82" t="str">
            <v>Other olives - prices per 100 kg</v>
          </cell>
          <cell r="Q82" t="str">
            <v>Other olives - prices per 100 kg</v>
          </cell>
          <cell r="R82" t="str">
            <v>Other olives - prices per 100 kg</v>
          </cell>
          <cell r="S82" t="str">
            <v>Other olives - prices per 100 kg</v>
          </cell>
          <cell r="T82" t="str">
            <v>Other olives - prices per 100 kg</v>
          </cell>
          <cell r="U82" t="str">
            <v>Other olives - prices per 100 kg</v>
          </cell>
          <cell r="V82" t="str">
            <v>Other olives - prices per 100 kg</v>
          </cell>
          <cell r="W82" t="str">
            <v>Other olives - prices per 100 kg</v>
          </cell>
          <cell r="X82" t="str">
            <v>Other olives - prices per 100 kg</v>
          </cell>
        </row>
        <row r="83">
          <cell r="A83" t="str">
            <v>04210000</v>
          </cell>
          <cell r="B83">
            <v>2236</v>
          </cell>
          <cell r="C83" t="str">
            <v>u1</v>
          </cell>
          <cell r="D83" t="str">
            <v>g45</v>
          </cell>
          <cell r="E83" t="str">
            <v>Roses - prices per 100 items</v>
          </cell>
          <cell r="F83" t="str">
            <v>Roses - prices per 100 items</v>
          </cell>
          <cell r="G83" t="str">
            <v>Rosen</v>
          </cell>
          <cell r="H83" t="str">
            <v>Roses - prices per 100 items</v>
          </cell>
          <cell r="I83" t="str">
            <v>Roses - prices per 100 items</v>
          </cell>
          <cell r="J83" t="str">
            <v>Roses - prices per 100 items</v>
          </cell>
          <cell r="K83" t="str">
            <v>Roses - prices per 100 items</v>
          </cell>
          <cell r="L83" t="str">
            <v>Roses - prices per 100 items</v>
          </cell>
          <cell r="M83" t="str">
            <v>Roses</v>
          </cell>
          <cell r="N83" t="str">
            <v>Roses - prices per 100 items</v>
          </cell>
          <cell r="O83" t="str">
            <v>Roses - prices per 100 items</v>
          </cell>
          <cell r="P83" t="str">
            <v>Roses - prices per 100 items</v>
          </cell>
          <cell r="Q83" t="str">
            <v>Roses - prices per 100 items</v>
          </cell>
          <cell r="R83" t="str">
            <v>Roses - prices per 100 items</v>
          </cell>
          <cell r="S83" t="str">
            <v>Roses - prices per 100 items</v>
          </cell>
          <cell r="T83" t="str">
            <v>Roses - prices per 100 items</v>
          </cell>
          <cell r="U83" t="str">
            <v>Roses - prices per 100 items</v>
          </cell>
          <cell r="V83" t="str">
            <v>Roses - prices per 100 items</v>
          </cell>
          <cell r="W83" t="str">
            <v>Roses - prices per 100 items</v>
          </cell>
          <cell r="X83" t="str">
            <v>Roses - prices per 100 items</v>
          </cell>
        </row>
        <row r="84">
          <cell r="A84" t="str">
            <v>04220000</v>
          </cell>
          <cell r="C84" t="str">
            <v>u1</v>
          </cell>
          <cell r="D84" t="str">
            <v>g44</v>
          </cell>
          <cell r="E84" t="str">
            <v>Carnations - prices per 100 items</v>
          </cell>
          <cell r="F84" t="str">
            <v>Carnations - prices per 100 items</v>
          </cell>
          <cell r="G84" t="str">
            <v>Nelken</v>
          </cell>
          <cell r="H84" t="str">
            <v>Carnations - prices per 100 items</v>
          </cell>
          <cell r="I84" t="str">
            <v>Carnations - prices per 100 items</v>
          </cell>
          <cell r="J84" t="str">
            <v>Carnations - prices per 100 items</v>
          </cell>
          <cell r="K84" t="str">
            <v>Carnations - prices per 100 items</v>
          </cell>
          <cell r="L84" t="str">
            <v>Carnations - prices per 100 items</v>
          </cell>
          <cell r="M84" t="str">
            <v>Oeillets</v>
          </cell>
          <cell r="N84" t="str">
            <v>Carnations - prices per 100 items</v>
          </cell>
          <cell r="O84" t="str">
            <v>Carnations - prices per 100 items</v>
          </cell>
          <cell r="P84" t="str">
            <v>Carnations - prices per 100 items</v>
          </cell>
          <cell r="Q84" t="str">
            <v>Carnations - prices per 100 items</v>
          </cell>
          <cell r="R84" t="str">
            <v>Carnations - prices per 100 items</v>
          </cell>
          <cell r="S84" t="str">
            <v>Carnations - prices per 100 items</v>
          </cell>
          <cell r="T84" t="str">
            <v>Carnations - prices per 100 items</v>
          </cell>
          <cell r="U84" t="str">
            <v>Carnations - prices per 100 items</v>
          </cell>
          <cell r="V84" t="str">
            <v>Carnations - prices per 100 items</v>
          </cell>
          <cell r="W84" t="str">
            <v>Carnations - prices per 100 items</v>
          </cell>
          <cell r="X84" t="str">
            <v>Carnations - prices per 100 items</v>
          </cell>
        </row>
        <row r="85">
          <cell r="A85" t="str">
            <v>04230000</v>
          </cell>
          <cell r="B85">
            <v>2191</v>
          </cell>
          <cell r="C85" t="str">
            <v>u1</v>
          </cell>
          <cell r="D85" t="str">
            <v>g45</v>
          </cell>
          <cell r="E85" t="str">
            <v>Chrysanthemums - prices per 100 items</v>
          </cell>
          <cell r="F85" t="str">
            <v>Chrysanthemums - prices per 100 items</v>
          </cell>
          <cell r="G85" t="str">
            <v>Chrysanthemen</v>
          </cell>
          <cell r="H85" t="str">
            <v>Chrysanthemums - prices per 100 items</v>
          </cell>
          <cell r="I85" t="str">
            <v>Chrysanthemums - prices per 100 items</v>
          </cell>
          <cell r="J85" t="str">
            <v>Chrysanthemums - prices per 100 items</v>
          </cell>
          <cell r="K85" t="str">
            <v>Chrysanthemums - prices per 100 items</v>
          </cell>
          <cell r="L85" t="str">
            <v>Chrysanthemums - prices per 100 items</v>
          </cell>
          <cell r="M85" t="str">
            <v>Chrysanthèmes</v>
          </cell>
          <cell r="N85" t="str">
            <v>Chrysanthemums - prices per 100 items</v>
          </cell>
          <cell r="O85" t="str">
            <v>Chrysanthemums - prices per 100 items</v>
          </cell>
          <cell r="P85" t="str">
            <v>Chrysanthemums - prices per 100 items</v>
          </cell>
          <cell r="Q85" t="str">
            <v>Chrysanthemums - prices per 100 items</v>
          </cell>
          <cell r="R85" t="str">
            <v>Chrysanthemums - prices per 100 items</v>
          </cell>
          <cell r="S85" t="str">
            <v>Chrysanthemums - prices per 100 items</v>
          </cell>
          <cell r="T85" t="str">
            <v>Chrysanthemums - prices per 100 items</v>
          </cell>
          <cell r="U85" t="str">
            <v>Chrysanthemums - prices per 100 items</v>
          </cell>
          <cell r="V85" t="str">
            <v>Chrysanthemums - prices per 100 items</v>
          </cell>
          <cell r="W85" t="str">
            <v>Chrysanthemums - prices per 100 items</v>
          </cell>
          <cell r="X85" t="str">
            <v>Chrysanthemums - prices per 100 items</v>
          </cell>
        </row>
        <row r="86">
          <cell r="A86" t="str">
            <v>04240000</v>
          </cell>
          <cell r="B86">
            <v>2264</v>
          </cell>
          <cell r="C86" t="str">
            <v>u1</v>
          </cell>
          <cell r="D86" t="str">
            <v>g45</v>
          </cell>
          <cell r="E86" t="str">
            <v>Gladioli - prices per 100 items</v>
          </cell>
          <cell r="F86" t="str">
            <v>Gladioli - prices per 100 items</v>
          </cell>
          <cell r="G86" t="str">
            <v>Gladiolen</v>
          </cell>
          <cell r="H86" t="str">
            <v>Gladioli - prices per 100 items</v>
          </cell>
          <cell r="I86" t="str">
            <v>Gladioli - prices per 100 items</v>
          </cell>
          <cell r="J86" t="str">
            <v>Gladioli - prices per 100 items</v>
          </cell>
          <cell r="K86" t="str">
            <v>Gladioli - prices per 100 items</v>
          </cell>
          <cell r="L86" t="str">
            <v>Gladioli - prices per 100 items</v>
          </cell>
          <cell r="M86" t="str">
            <v>Glaïeuls</v>
          </cell>
          <cell r="N86" t="str">
            <v>Gladioli - prices per 100 items</v>
          </cell>
          <cell r="O86" t="str">
            <v>Gladioli - prices per 100 items</v>
          </cell>
          <cell r="P86" t="str">
            <v>Gladioli - prices per 100 items</v>
          </cell>
          <cell r="Q86" t="str">
            <v>Gladioli - prices per 100 items</v>
          </cell>
          <cell r="R86" t="str">
            <v>Gladioli - prices per 100 items</v>
          </cell>
          <cell r="S86" t="str">
            <v>Gladioli - prices per 100 items</v>
          </cell>
          <cell r="T86" t="str">
            <v>Gladioli - prices per 100 items</v>
          </cell>
          <cell r="U86" t="str">
            <v>Gladioli - prices per 100 items</v>
          </cell>
          <cell r="V86" t="str">
            <v>Gladioli - prices per 100 items</v>
          </cell>
          <cell r="W86" t="str">
            <v>Gladioli - prices per 100 items</v>
          </cell>
          <cell r="X86" t="str">
            <v>Gladioli - prices per 100 items</v>
          </cell>
        </row>
        <row r="87">
          <cell r="A87" t="str">
            <v>04250000</v>
          </cell>
          <cell r="B87">
            <v>2265</v>
          </cell>
          <cell r="C87" t="str">
            <v>u1</v>
          </cell>
          <cell r="D87" t="str">
            <v>g45</v>
          </cell>
          <cell r="E87" t="str">
            <v>Tulips - prices per 100 items</v>
          </cell>
          <cell r="F87" t="str">
            <v>Tulips - prices per 100 items</v>
          </cell>
          <cell r="G87" t="str">
            <v>Tulpen</v>
          </cell>
          <cell r="H87" t="str">
            <v>Tulips - prices per 100 items</v>
          </cell>
          <cell r="I87" t="str">
            <v>Tulips - prices per 100 items</v>
          </cell>
          <cell r="J87" t="str">
            <v>Tulips - prices per 100 items</v>
          </cell>
          <cell r="K87" t="str">
            <v>Tulips - prices per 100 items</v>
          </cell>
          <cell r="L87" t="str">
            <v>Tulips - prices per 100 items</v>
          </cell>
          <cell r="M87" t="str">
            <v>Tulipes</v>
          </cell>
          <cell r="N87" t="str">
            <v>Tulips - prices per 100 items</v>
          </cell>
          <cell r="O87" t="str">
            <v>Tulips - prices per 100 items</v>
          </cell>
          <cell r="P87" t="str">
            <v>Tulips - prices per 100 items</v>
          </cell>
          <cell r="Q87" t="str">
            <v>Tulips - prices per 100 items</v>
          </cell>
          <cell r="R87" t="str">
            <v>Tulips - prices per 100 items</v>
          </cell>
          <cell r="S87" t="str">
            <v>Tulips - prices per 100 items</v>
          </cell>
          <cell r="T87" t="str">
            <v>Tulips - prices per 100 items</v>
          </cell>
          <cell r="U87" t="str">
            <v>Tulips - prices per 100 items</v>
          </cell>
          <cell r="V87" t="str">
            <v>Tulips - prices per 100 items</v>
          </cell>
          <cell r="W87" t="str">
            <v>Tulips - prices per 100 items</v>
          </cell>
          <cell r="X87" t="str">
            <v>Tulips - prices per 100 items</v>
          </cell>
        </row>
        <row r="88">
          <cell r="A88" t="str">
            <v>04260000</v>
          </cell>
          <cell r="B88">
            <v>2320</v>
          </cell>
          <cell r="C88" t="str">
            <v>u1</v>
          </cell>
          <cell r="D88" t="str">
            <v>g10</v>
          </cell>
          <cell r="E88" t="str">
            <v>Freesias - prices per 100 items</v>
          </cell>
          <cell r="F88" t="str">
            <v>Freesias - prices per 100 items</v>
          </cell>
          <cell r="G88" t="str">
            <v>Freesien</v>
          </cell>
          <cell r="H88" t="str">
            <v>Freesias - prices per 100 items</v>
          </cell>
          <cell r="I88" t="str">
            <v>Freesias - prices per 100 items</v>
          </cell>
          <cell r="J88" t="str">
            <v>Freesias - prices per 100 items</v>
          </cell>
          <cell r="K88" t="str">
            <v>Freesias - prices per 100 items</v>
          </cell>
          <cell r="L88" t="str">
            <v>Freesias - prices per 100 items</v>
          </cell>
          <cell r="M88" t="str">
            <v>Freesias</v>
          </cell>
          <cell r="N88" t="str">
            <v>Freesias - prices per 100 items</v>
          </cell>
          <cell r="O88" t="str">
            <v>Freesias - prices per 100 items</v>
          </cell>
          <cell r="P88" t="str">
            <v>Freesias - prices per 100 items</v>
          </cell>
          <cell r="Q88" t="str">
            <v>Freesias - prices per 100 items</v>
          </cell>
          <cell r="R88" t="str">
            <v>Freesias - prices per 100 items</v>
          </cell>
          <cell r="S88" t="str">
            <v>Freesias - prices per 100 items</v>
          </cell>
          <cell r="T88" t="str">
            <v>Freesias - prices per 100 items</v>
          </cell>
          <cell r="U88" t="str">
            <v>Freesias - prices per 100 items</v>
          </cell>
          <cell r="V88" t="str">
            <v>Freesias - prices per 100 items</v>
          </cell>
          <cell r="W88" t="str">
            <v>Freesias - prices per 100 items</v>
          </cell>
          <cell r="X88" t="str">
            <v>Freesias - prices per 100 items</v>
          </cell>
        </row>
        <row r="89">
          <cell r="A89" t="str">
            <v>07110000</v>
          </cell>
          <cell r="B89">
            <v>2351</v>
          </cell>
          <cell r="C89" t="str">
            <v>u2</v>
          </cell>
          <cell r="D89" t="str">
            <v>g9</v>
          </cell>
          <cell r="E89" t="str">
            <v>Vin de pays/Vinho regional/Vino de la tierra - prices per 100 litres</v>
          </cell>
          <cell r="F89" t="str">
            <v>Vin de pays/Vinho regional/Vino de la tierra - prices per 100 litres</v>
          </cell>
          <cell r="G89" t="str">
            <v>Taffelwein</v>
          </cell>
          <cell r="H89" t="str">
            <v>Vin de pays/Vinho regional/Vino de la tierra - prices per 100 litres</v>
          </cell>
          <cell r="I89" t="str">
            <v>Vin de pays/Vinho regional/Vino de la tierra - prices per 100 litres</v>
          </cell>
          <cell r="J89" t="str">
            <v>Vin de pays/Vinho regional/Vino de la tierra - prices per 100 litres</v>
          </cell>
          <cell r="K89" t="str">
            <v>Vin de pays/Vinho regional/Vino de la tierra - prices per 100 litres</v>
          </cell>
          <cell r="L89" t="str">
            <v>Vin de pays/Vinho regional/Vino de la tierra - prices per 100 litres</v>
          </cell>
          <cell r="M89" t="str">
            <v>Vin de pays</v>
          </cell>
          <cell r="N89" t="str">
            <v>Vin de pays/Vinho regional/Vino de la tierra - prices per 100 litres</v>
          </cell>
          <cell r="O89" t="str">
            <v>Vin de pays/Vinho regional/Vino de la tierra - prices per 100 litres</v>
          </cell>
          <cell r="P89" t="str">
            <v>Vin de pays/Vinho regional/Vino de la tierra - prices per 100 litres</v>
          </cell>
          <cell r="Q89" t="str">
            <v>Vin de pays/Vinho regional/Vino de la tierra - prices per 100 litres</v>
          </cell>
          <cell r="R89" t="str">
            <v>Vin de pays/Vinho regional/Vino de la tierra - prices per 100 litres</v>
          </cell>
          <cell r="S89" t="str">
            <v>Vin de pays/Vinho regional/Vino de la tierra - prices per 100 litres</v>
          </cell>
          <cell r="T89" t="str">
            <v>Vin de pays/Vinho regional/Vino de la tierra - prices per 100 litres</v>
          </cell>
          <cell r="U89" t="str">
            <v>Vin de pays/Vinho regional/Vino de la tierra - prices per 100 litres</v>
          </cell>
          <cell r="V89" t="str">
            <v>Vin de pays/Vinho regional/Vino de la tierra - prices per 100 litres</v>
          </cell>
          <cell r="W89" t="str">
            <v>Vin de pays/Vinho regional/Vino de la tierra - prices per 100 litres</v>
          </cell>
          <cell r="X89" t="str">
            <v>Vin de pays/Vinho regional/Vino de la tierra - prices per 100 litres</v>
          </cell>
        </row>
        <row r="90">
          <cell r="A90" t="str">
            <v>07190000</v>
          </cell>
          <cell r="B90">
            <v>2371</v>
          </cell>
          <cell r="C90" t="str">
            <v>u2</v>
          </cell>
          <cell r="D90" t="str">
            <v>g8</v>
          </cell>
          <cell r="E90" t="str">
            <v>Other table wine - prices per 100 litres</v>
          </cell>
          <cell r="F90" t="str">
            <v>Other table wine - prices per 100 litres</v>
          </cell>
          <cell r="G90" t="str">
            <v>Andere Taffelwein</v>
          </cell>
          <cell r="H90" t="str">
            <v>Other table wine - prices per 100 litres</v>
          </cell>
          <cell r="I90" t="str">
            <v>Other table wine - prices per 100 litres</v>
          </cell>
          <cell r="J90" t="str">
            <v>Other table wine - prices per 100 litres</v>
          </cell>
          <cell r="K90" t="str">
            <v>Other table wine - prices per 100 litres</v>
          </cell>
          <cell r="L90" t="str">
            <v>Other table wine - prices per 100 litres</v>
          </cell>
          <cell r="M90" t="str">
            <v>Autres vins de table</v>
          </cell>
          <cell r="N90" t="str">
            <v>Other table wine - prices per 100 litres</v>
          </cell>
          <cell r="O90" t="str">
            <v>Other table wine - prices per 100 litres</v>
          </cell>
          <cell r="P90" t="str">
            <v>Other table wine - prices per 100 litres</v>
          </cell>
          <cell r="Q90" t="str">
            <v>Other table wine - prices per 100 litres</v>
          </cell>
          <cell r="R90" t="str">
            <v>Other table wine - prices per 100 litres</v>
          </cell>
          <cell r="S90" t="str">
            <v>Other table wine - prices per 100 litres</v>
          </cell>
          <cell r="T90" t="str">
            <v>Other table wine - prices per 100 litres</v>
          </cell>
          <cell r="U90" t="str">
            <v>Other table wine - prices per 100 litres</v>
          </cell>
          <cell r="V90" t="str">
            <v>Other table wine - prices per 100 litres</v>
          </cell>
          <cell r="W90" t="str">
            <v>Other table wine - prices per 100 litres</v>
          </cell>
          <cell r="X90" t="str">
            <v>Other table wine - prices per 100 litres</v>
          </cell>
        </row>
        <row r="91">
          <cell r="A91" t="str">
            <v>07200000</v>
          </cell>
          <cell r="C91" t="str">
            <v>u2</v>
          </cell>
          <cell r="D91" t="str">
            <v>g11</v>
          </cell>
          <cell r="E91" t="str">
            <v>Quality wine - prices per 100 litres</v>
          </cell>
          <cell r="F91" t="str">
            <v>Quality wine - prices per 100 litres</v>
          </cell>
          <cell r="G91" t="str">
            <v>Qualiteitswein</v>
          </cell>
          <cell r="H91" t="str">
            <v>Quality wine - prices per 100 litres</v>
          </cell>
          <cell r="I91" t="str">
            <v>Quality wine - prices per 100 litres</v>
          </cell>
          <cell r="J91" t="str">
            <v>Quality wine - prices per 100 litres</v>
          </cell>
          <cell r="K91" t="str">
            <v>Quality wine - prices per 100 litres</v>
          </cell>
          <cell r="L91" t="str">
            <v>Quality wine - prices per 100 litres</v>
          </cell>
          <cell r="M91" t="str">
            <v>Vin de qualité</v>
          </cell>
          <cell r="N91" t="str">
            <v>Quality wine - prices per 100 litres</v>
          </cell>
          <cell r="O91" t="str">
            <v>Quality wine - prices per 100 litres</v>
          </cell>
          <cell r="P91" t="str">
            <v>Quality wine - prices per 100 litres</v>
          </cell>
          <cell r="Q91" t="str">
            <v>Quality wine - prices per 100 litres</v>
          </cell>
          <cell r="R91" t="str">
            <v>Quality wine - prices per 100 litres</v>
          </cell>
          <cell r="S91" t="str">
            <v>Quality wine - prices per 100 litres</v>
          </cell>
          <cell r="T91" t="str">
            <v>Quality wine - prices per 100 litres</v>
          </cell>
          <cell r="U91" t="str">
            <v>Quality wine - prices per 100 litres</v>
          </cell>
          <cell r="V91" t="str">
            <v>Quality wine - prices per 100 litres</v>
          </cell>
          <cell r="W91" t="str">
            <v>Quality wine - prices per 100 litres</v>
          </cell>
          <cell r="X91" t="str">
            <v>Quality wine - prices per 100 litres</v>
          </cell>
        </row>
        <row r="92">
          <cell r="A92" t="str">
            <v>07900000</v>
          </cell>
          <cell r="B92">
            <v>2251</v>
          </cell>
          <cell r="C92" t="str">
            <v>u2</v>
          </cell>
          <cell r="D92" t="str">
            <v>g73</v>
          </cell>
          <cell r="E92" t="str">
            <v>Other wine - prices per 100 litres</v>
          </cell>
          <cell r="F92" t="str">
            <v>Other wine - prices per 100 litres</v>
          </cell>
          <cell r="G92" t="str">
            <v>Andere Weine</v>
          </cell>
          <cell r="H92" t="str">
            <v>Other wine - prices per 100 litres</v>
          </cell>
          <cell r="I92" t="str">
            <v>Other wine - prices per 100 litres</v>
          </cell>
          <cell r="J92" t="str">
            <v>Other wine - prices per 100 litres</v>
          </cell>
          <cell r="K92" t="str">
            <v>Other wine - prices per 100 litres</v>
          </cell>
          <cell r="L92" t="str">
            <v>Other wine - prices per 100 litres</v>
          </cell>
          <cell r="M92" t="str">
            <v>Autres vins</v>
          </cell>
          <cell r="N92" t="str">
            <v>Other wine - prices per 100 litres</v>
          </cell>
          <cell r="O92" t="str">
            <v>Other wine - prices per 100 litres</v>
          </cell>
          <cell r="P92" t="str">
            <v>Other wine - prices per 100 litres</v>
          </cell>
          <cell r="Q92" t="str">
            <v>Other wine - prices per 100 litres</v>
          </cell>
          <cell r="R92" t="str">
            <v>Other wine - prices per 100 litres</v>
          </cell>
          <cell r="S92" t="str">
            <v>Other wine - prices per 100 litres</v>
          </cell>
          <cell r="T92" t="str">
            <v>Other wine - prices per 100 litres</v>
          </cell>
          <cell r="U92" t="str">
            <v>Other wine - prices per 100 litres</v>
          </cell>
          <cell r="V92" t="str">
            <v>Other wine - prices per 100 litres</v>
          </cell>
          <cell r="W92" t="str">
            <v>Other wine - prices per 100 litres</v>
          </cell>
          <cell r="X92" t="str">
            <v>Other wine - prices per 100 litres</v>
          </cell>
        </row>
        <row r="93">
          <cell r="A93" t="str">
            <v>08100000</v>
          </cell>
          <cell r="B93">
            <v>2421</v>
          </cell>
          <cell r="C93" t="str">
            <v>u2</v>
          </cell>
          <cell r="D93" t="str">
            <v>g27</v>
          </cell>
          <cell r="E93" t="str">
            <v>Extra vergine - prices per 100 litres</v>
          </cell>
          <cell r="F93" t="str">
            <v>Extra vergine - prices per 100 litres</v>
          </cell>
          <cell r="G93" t="str">
            <v>Olivenöl: Extra virgin</v>
          </cell>
          <cell r="H93" t="str">
            <v>Extra vergine - prices per 100 litres</v>
          </cell>
          <cell r="I93" t="str">
            <v>Extra vergine - prices per 100 litres</v>
          </cell>
          <cell r="J93" t="str">
            <v>Extra vergine - prices per 100 litres</v>
          </cell>
          <cell r="K93" t="str">
            <v>Extra vergine - prices per 100 litres</v>
          </cell>
          <cell r="L93" t="str">
            <v>Extra vergine - prices per 100 litres</v>
          </cell>
          <cell r="M93" t="str">
            <v>Huile d'olives: Extra virgin</v>
          </cell>
          <cell r="N93" t="str">
            <v>Extra vergine - prices per 100 litres</v>
          </cell>
          <cell r="O93" t="str">
            <v>Extra vergine - prices per 100 litres</v>
          </cell>
          <cell r="P93" t="str">
            <v>Extra vergine - prices per 100 litres</v>
          </cell>
          <cell r="Q93" t="str">
            <v>Extra vergine - prices per 100 litres</v>
          </cell>
          <cell r="R93" t="str">
            <v>Extra vergine - prices per 100 litres</v>
          </cell>
          <cell r="S93" t="str">
            <v>Extra vergine - prices per 100 litres</v>
          </cell>
          <cell r="T93" t="str">
            <v>Extra vergine - prices per 100 litres</v>
          </cell>
          <cell r="U93" t="str">
            <v>Extra vergine - prices per 100 litres</v>
          </cell>
          <cell r="V93" t="str">
            <v>Extra vergine - prices per 100 litres</v>
          </cell>
          <cell r="W93" t="str">
            <v>Extra vergine - prices per 100 litres</v>
          </cell>
          <cell r="X93" t="str">
            <v>Extra vergine - prices per 100 litres</v>
          </cell>
        </row>
        <row r="94">
          <cell r="A94" t="str">
            <v>08200000</v>
          </cell>
          <cell r="B94">
            <v>2445</v>
          </cell>
          <cell r="C94" t="str">
            <v>u2</v>
          </cell>
          <cell r="D94" t="str">
            <v>g28</v>
          </cell>
          <cell r="E94" t="str">
            <v>Sopraffino - fine - prices per 100 litres</v>
          </cell>
          <cell r="F94" t="str">
            <v>Sopraffino - fine - prices per 100 litres</v>
          </cell>
          <cell r="G94" t="str">
            <v>Olivenöl: Vergine - Fine</v>
          </cell>
          <cell r="H94" t="str">
            <v>Sopraffino - fine - prices per 100 litres</v>
          </cell>
          <cell r="I94" t="str">
            <v>Sopraffino - fine - prices per 100 litres</v>
          </cell>
          <cell r="J94" t="str">
            <v>Sopraffino - fine - prices per 100 litres</v>
          </cell>
          <cell r="K94" t="str">
            <v>Sopraffino - fine - prices per 100 litres</v>
          </cell>
          <cell r="L94" t="str">
            <v>Sopraffino - fine - prices per 100 litres</v>
          </cell>
          <cell r="M94" t="str">
            <v>Huile d'olives: Vergine - Fine</v>
          </cell>
          <cell r="N94" t="str">
            <v>Sopraffino - fine - prices per 100 litres</v>
          </cell>
          <cell r="O94" t="str">
            <v>Sopraffino - fine - prices per 100 litres</v>
          </cell>
          <cell r="P94" t="str">
            <v>Sopraffino - fine - prices per 100 litres</v>
          </cell>
          <cell r="Q94" t="str">
            <v>Sopraffino - fine - prices per 100 litres</v>
          </cell>
          <cell r="R94" t="str">
            <v>Sopraffino - fine - prices per 100 litres</v>
          </cell>
          <cell r="S94" t="str">
            <v>Sopraffino - fine - prices per 100 litres</v>
          </cell>
          <cell r="T94" t="str">
            <v>Sopraffino - fine - prices per 100 litres</v>
          </cell>
          <cell r="U94" t="str">
            <v>Sopraffino - fine - prices per 100 litres</v>
          </cell>
          <cell r="V94" t="str">
            <v>Sopraffino - fine - prices per 100 litres</v>
          </cell>
          <cell r="W94" t="str">
            <v>Sopraffino - fine - prices per 100 litres</v>
          </cell>
          <cell r="X94" t="str">
            <v>Sopraffino - fine - prices per 100 litres</v>
          </cell>
        </row>
        <row r="95">
          <cell r="A95" t="str">
            <v>08300000</v>
          </cell>
          <cell r="B95">
            <v>2460</v>
          </cell>
          <cell r="C95" t="str">
            <v>u2</v>
          </cell>
          <cell r="D95" t="str">
            <v>g38</v>
          </cell>
          <cell r="E95" t="str">
            <v>Semi-fine - prices per 100 litres</v>
          </cell>
          <cell r="F95" t="str">
            <v>Semi-fine - prices per 100 litres</v>
          </cell>
          <cell r="G95" t="str">
            <v>Olivenöl: Vergine - Corrente</v>
          </cell>
          <cell r="H95" t="str">
            <v>Semi-fine - prices per 100 litres</v>
          </cell>
          <cell r="I95" t="str">
            <v>Semi-fine - prices per 100 litres</v>
          </cell>
          <cell r="J95" t="str">
            <v>Semi-fine - prices per 100 litres</v>
          </cell>
          <cell r="K95" t="str">
            <v>Semi-fine - prices per 100 litres</v>
          </cell>
          <cell r="L95" t="str">
            <v>Semi-fine - prices per 100 litres</v>
          </cell>
          <cell r="M95" t="str">
            <v>Huile d'olives: Vergine - Corrente</v>
          </cell>
          <cell r="N95" t="str">
            <v>Semi-fine - prices per 100 litres</v>
          </cell>
          <cell r="O95" t="str">
            <v>Semi-fine - prices per 100 litres</v>
          </cell>
          <cell r="P95" t="str">
            <v>Semi-fine - prices per 100 litres</v>
          </cell>
          <cell r="Q95" t="str">
            <v>Semi-fine - prices per 100 litres</v>
          </cell>
          <cell r="R95" t="str">
            <v>Semi-fine - prices per 100 litres</v>
          </cell>
          <cell r="S95" t="str">
            <v>Semi-fine - prices per 100 litres</v>
          </cell>
          <cell r="T95" t="str">
            <v>Semi-fine - prices per 100 litres</v>
          </cell>
          <cell r="U95" t="str">
            <v>Semi-fine - prices per 100 litres</v>
          </cell>
          <cell r="V95" t="str">
            <v>Semi-fine - prices per 100 litres</v>
          </cell>
          <cell r="W95" t="str">
            <v>Semi-fine - prices per 100 litres</v>
          </cell>
          <cell r="X95" t="str">
            <v>Semi-fine - prices per 100 litres</v>
          </cell>
        </row>
        <row r="96">
          <cell r="A96" t="str">
            <v>08400000</v>
          </cell>
          <cell r="C96" t="str">
            <v>u2</v>
          </cell>
          <cell r="D96" t="str">
            <v>g37</v>
          </cell>
          <cell r="E96" t="str">
            <v>Lampante - prices per 100 litres</v>
          </cell>
          <cell r="F96" t="str">
            <v>Lampante - prices per 100 litres</v>
          </cell>
          <cell r="G96" t="str">
            <v>Olivenöl: Vergine - Lampante</v>
          </cell>
          <cell r="H96" t="str">
            <v>Lampante - prices per 100 litres</v>
          </cell>
          <cell r="I96" t="str">
            <v>Lampante - prices per 100 litres</v>
          </cell>
          <cell r="J96" t="str">
            <v>Lampante - prices per 100 litres</v>
          </cell>
          <cell r="K96" t="str">
            <v>Lampante - prices per 100 litres</v>
          </cell>
          <cell r="L96" t="str">
            <v>Lampante - prices per 100 litres</v>
          </cell>
          <cell r="M96" t="str">
            <v>Huile d'olives: Vergine - Lampante</v>
          </cell>
          <cell r="N96" t="str">
            <v>Lampante - prices per 100 litres</v>
          </cell>
          <cell r="O96" t="str">
            <v>Lampante - prices per 100 litres</v>
          </cell>
          <cell r="P96" t="str">
            <v>Lampante - prices per 100 litres</v>
          </cell>
          <cell r="Q96" t="str">
            <v>Lampante - prices per 100 litres</v>
          </cell>
          <cell r="R96" t="str">
            <v>Lampante - prices per 100 litres</v>
          </cell>
          <cell r="S96" t="str">
            <v>Lampante - prices per 100 litres</v>
          </cell>
          <cell r="T96" t="str">
            <v>Lampante - prices per 100 litres</v>
          </cell>
          <cell r="U96" t="str">
            <v>Lampante - prices per 100 litres</v>
          </cell>
          <cell r="V96" t="str">
            <v>Lampante - prices per 100 litres</v>
          </cell>
          <cell r="W96" t="str">
            <v>Lampante - prices per 100 litres</v>
          </cell>
          <cell r="X96" t="str">
            <v>Lampante - prices per 100 litres</v>
          </cell>
        </row>
        <row r="97">
          <cell r="A97" t="str">
            <v>04199911</v>
          </cell>
          <cell r="C97" t="str">
            <v>u7</v>
          </cell>
          <cell r="D97" t="str">
            <v>g72</v>
          </cell>
          <cell r="E97" t="str">
            <v>Courgettes - prices per 100 kg</v>
          </cell>
          <cell r="F97" t="str">
            <v>Courgettes - prices per 100 kg</v>
          </cell>
          <cell r="G97" t="str">
            <v>Zucchini</v>
          </cell>
          <cell r="H97" t="str">
            <v>Courgettes - prices per 100 kg</v>
          </cell>
          <cell r="I97" t="str">
            <v>Courgettes - prices per 100 kg</v>
          </cell>
          <cell r="J97" t="str">
            <v>Courgettes - prices per 100 kg</v>
          </cell>
          <cell r="K97" t="str">
            <v>Courgettes - prices per 100 kg</v>
          </cell>
          <cell r="L97" t="str">
            <v>Courgettes - prices per 100 kg</v>
          </cell>
          <cell r="M97" t="str">
            <v>Courgettes</v>
          </cell>
          <cell r="N97" t="str">
            <v>Courgettes - prices per 100 kg</v>
          </cell>
          <cell r="O97" t="str">
            <v>Courgettes - prices per 100 kg</v>
          </cell>
          <cell r="P97" t="str">
            <v>Courgettes - prices per 100 kg</v>
          </cell>
          <cell r="Q97" t="str">
            <v>Courgettes - prices per 100 kg</v>
          </cell>
          <cell r="R97" t="str">
            <v>Courgettes - prices per 100 kg</v>
          </cell>
          <cell r="S97" t="str">
            <v>Courgettes - prices per 100 kg</v>
          </cell>
          <cell r="T97" t="str">
            <v>Courgettes - prices per 100 kg</v>
          </cell>
          <cell r="U97" t="str">
            <v>Courgettes - prices per 100 kg</v>
          </cell>
          <cell r="V97" t="str">
            <v>Courgettes - prices per 100 kg</v>
          </cell>
          <cell r="W97" t="str">
            <v>Courgettes - prices per 100 kg</v>
          </cell>
          <cell r="X97" t="str">
            <v>Courgettes - prices per 100 kg</v>
          </cell>
        </row>
        <row r="98">
          <cell r="A98" t="str">
            <v>04199902</v>
          </cell>
          <cell r="C98" t="str">
            <v>u7</v>
          </cell>
          <cell r="D98" t="str">
            <v>g71</v>
          </cell>
          <cell r="E98" t="str">
            <v>Chicory in the open - prices per 100 kg</v>
          </cell>
          <cell r="F98" t="str">
            <v>Chicory in the open - prices per 100 kg</v>
          </cell>
          <cell r="G98" t="str">
            <v>Zichorie (Freiland)</v>
          </cell>
          <cell r="H98" t="str">
            <v>Chicory in the open - prices per 100 kg</v>
          </cell>
          <cell r="I98" t="str">
            <v>Chicory in the open - prices per 100 kg</v>
          </cell>
          <cell r="J98" t="str">
            <v>Chicory in the open - prices per 100 kg</v>
          </cell>
          <cell r="K98" t="str">
            <v>Chicory in the open - prices per 100 kg</v>
          </cell>
          <cell r="L98" t="str">
            <v>Chicory in the open - prices per 100 kg</v>
          </cell>
          <cell r="M98" t="str">
            <v>Chicorée witloof de pleine terre</v>
          </cell>
          <cell r="N98" t="str">
            <v>Chicory in the open - prices per 100 kg</v>
          </cell>
          <cell r="O98" t="str">
            <v>Chicory in the open - prices per 100 kg</v>
          </cell>
          <cell r="P98" t="str">
            <v>Chicory in the open - prices per 100 kg</v>
          </cell>
          <cell r="Q98" t="str">
            <v>Chicory in the open - prices per 100 kg</v>
          </cell>
          <cell r="R98" t="str">
            <v>Chicory in the open - prices per 100 kg</v>
          </cell>
          <cell r="S98" t="str">
            <v>Chicory in the open - prices per 100 kg</v>
          </cell>
          <cell r="T98" t="str">
            <v>Chicory in the open - prices per 100 kg</v>
          </cell>
          <cell r="U98" t="str">
            <v>Chicory in the open - prices per 100 kg</v>
          </cell>
          <cell r="V98" t="str">
            <v>Chicory in the open - prices per 100 kg</v>
          </cell>
          <cell r="W98" t="str">
            <v>Chicory in the open - prices per 100 kg</v>
          </cell>
          <cell r="X98" t="str">
            <v>Chicory in the open - prices per 100 kg</v>
          </cell>
        </row>
        <row r="99">
          <cell r="A99" t="str">
            <v>04199903</v>
          </cell>
          <cell r="C99" t="str">
            <v>u7</v>
          </cell>
          <cell r="D99" t="str">
            <v>g65</v>
          </cell>
          <cell r="E99" t="str">
            <v>Leeks in the open - prices per 100 kg</v>
          </cell>
          <cell r="F99" t="str">
            <v>Leeks in the open - prices per 100 kg</v>
          </cell>
          <cell r="G99" t="str">
            <v>Porree (Lauch) (Freiland)</v>
          </cell>
          <cell r="H99" t="str">
            <v>Leeks in the open - prices per 100 kg</v>
          </cell>
          <cell r="I99" t="str">
            <v>Leeks in the open - prices per 100 kg</v>
          </cell>
          <cell r="J99" t="str">
            <v>Leeks in the open - prices per 100 kg</v>
          </cell>
          <cell r="K99" t="str">
            <v>Leeks in the open - prices per 100 kg</v>
          </cell>
          <cell r="L99" t="str">
            <v>Leeks in the open - prices per 100 kg</v>
          </cell>
          <cell r="M99" t="str">
            <v>Poireaux de pleine terre</v>
          </cell>
          <cell r="N99" t="str">
            <v>Leeks in the open - prices per 100 kg</v>
          </cell>
          <cell r="O99" t="str">
            <v>Leeks in the open - prices per 100 kg</v>
          </cell>
          <cell r="P99" t="str">
            <v>Leeks in the open - prices per 100 kg</v>
          </cell>
          <cell r="Q99" t="str">
            <v>Leeks in the open - prices per 100 kg</v>
          </cell>
          <cell r="R99" t="str">
            <v>Leeks in the open - prices per 100 kg</v>
          </cell>
          <cell r="S99" t="str">
            <v>Leeks in the open - prices per 100 kg</v>
          </cell>
          <cell r="T99" t="str">
            <v>Leeks in the open - prices per 100 kg</v>
          </cell>
          <cell r="U99" t="str">
            <v>Leeks in the open - prices per 100 kg</v>
          </cell>
          <cell r="V99" t="str">
            <v>Leeks in the open - prices per 100 kg</v>
          </cell>
          <cell r="W99" t="str">
            <v>Leeks in the open - prices per 100 kg</v>
          </cell>
          <cell r="X99" t="str">
            <v>Leeks in the open - prices per 100 kg</v>
          </cell>
        </row>
        <row r="100">
          <cell r="A100" t="str">
            <v>04199904</v>
          </cell>
          <cell r="C100" t="str">
            <v>u7</v>
          </cell>
          <cell r="D100" t="str">
            <v>g56</v>
          </cell>
          <cell r="E100" t="str">
            <v>Capsicum (under glass) - prices per 100 kg</v>
          </cell>
          <cell r="F100" t="str">
            <v>Capsicum (under glass) - prices per 100 kg</v>
          </cell>
          <cell r="G100" t="str">
            <v>Gemüsepaprika (unter Glas)</v>
          </cell>
          <cell r="H100" t="str">
            <v>Capsicum (under glass) - prices per 100 kg</v>
          </cell>
          <cell r="I100" t="str">
            <v>Capsicum (under glass) - prices per 100 kg</v>
          </cell>
          <cell r="J100" t="str">
            <v>Capsicum (under glass) - prices per 100 kg</v>
          </cell>
          <cell r="K100" t="str">
            <v>Capsicum (under glass) - prices per 100 kg</v>
          </cell>
          <cell r="L100" t="str">
            <v>Capsicum (under glass) - prices per 100 kg</v>
          </cell>
          <cell r="M100" t="str">
            <v>Paprika (poivrons) de serre</v>
          </cell>
          <cell r="N100" t="str">
            <v>Capsicum (under glass) - prices per 100 kg</v>
          </cell>
          <cell r="O100" t="str">
            <v>Capsicum (under glass) - prices per 100 kg</v>
          </cell>
          <cell r="P100" t="str">
            <v>Capsicum (under glass) - prices per 100 kg</v>
          </cell>
          <cell r="Q100" t="str">
            <v>Capsicum (under glass) - prices per 100 kg</v>
          </cell>
          <cell r="R100" t="str">
            <v>Capsicum (under glass) - prices per 100 kg</v>
          </cell>
          <cell r="S100" t="str">
            <v>Capsicum (under glass) - prices per 100 kg</v>
          </cell>
          <cell r="T100" t="str">
            <v>Capsicum (under glass) - prices per 100 kg</v>
          </cell>
          <cell r="U100" t="str">
            <v>Capsicum (under glass) - prices per 100 kg</v>
          </cell>
          <cell r="V100" t="str">
            <v>Capsicum (under glass) - prices per 100 kg</v>
          </cell>
          <cell r="W100" t="str">
            <v>Capsicum (under glass) - prices per 100 kg</v>
          </cell>
          <cell r="X100" t="str">
            <v>Capsicum (under glass) - prices per 100 kg</v>
          </cell>
        </row>
        <row r="101">
          <cell r="A101" t="str">
            <v>04197000</v>
          </cell>
          <cell r="B101">
            <v>3963</v>
          </cell>
          <cell r="C101" t="str">
            <v>u7</v>
          </cell>
          <cell r="D101" t="str">
            <v>g36</v>
          </cell>
          <cell r="E101" t="str">
            <v>Green beans - prices per 100 kg</v>
          </cell>
          <cell r="F101" t="str">
            <v>Green beans - prices per 100 kg</v>
          </cell>
          <cell r="G101" t="str">
            <v>Pflückbohnen</v>
          </cell>
          <cell r="H101" t="str">
            <v>Green beans - prices per 100 kg</v>
          </cell>
          <cell r="I101" t="str">
            <v>Green beans - prices per 100 kg</v>
          </cell>
          <cell r="J101" t="str">
            <v>Green beans - prices per 100 kg</v>
          </cell>
          <cell r="K101" t="str">
            <v>Green beans - prices per 100 kg</v>
          </cell>
          <cell r="L101" t="str">
            <v>Green beans - prices per 100 kg</v>
          </cell>
          <cell r="M101" t="str">
            <v>Haricots verts</v>
          </cell>
          <cell r="N101" t="str">
            <v>Green beans - prices per 100 kg</v>
          </cell>
          <cell r="O101" t="str">
            <v>Green beans - prices per 100 kg</v>
          </cell>
          <cell r="P101" t="str">
            <v>Green beans - prices per 100 kg</v>
          </cell>
          <cell r="Q101" t="str">
            <v>Green beans - prices per 100 kg</v>
          </cell>
          <cell r="R101" t="str">
            <v>Green beans - prices per 100 kg</v>
          </cell>
          <cell r="S101" t="str">
            <v>Green beans - prices per 100 kg</v>
          </cell>
          <cell r="T101" t="str">
            <v>Green beans - prices per 100 kg</v>
          </cell>
          <cell r="U101" t="str">
            <v>Green beans - prices per 100 kg</v>
          </cell>
          <cell r="V101" t="str">
            <v>Green beans - prices per 100 kg</v>
          </cell>
          <cell r="W101" t="str">
            <v>Green beans - prices per 100 kg</v>
          </cell>
          <cell r="X101" t="str">
            <v>Green beans - prices per 100 kg</v>
          </cell>
        </row>
        <row r="102">
          <cell r="A102" t="str">
            <v>04199905</v>
          </cell>
          <cell r="B102">
            <v>3964</v>
          </cell>
          <cell r="C102" t="str">
            <v>u7</v>
          </cell>
          <cell r="D102" t="str">
            <v>g36</v>
          </cell>
          <cell r="E102" t="str">
            <v>Beetroot - prices per 100 kg</v>
          </cell>
          <cell r="F102" t="str">
            <v>Beetroot - prices per 100 kg</v>
          </cell>
          <cell r="G102" t="str">
            <v>Rote Rüben</v>
          </cell>
          <cell r="H102" t="str">
            <v>Beetroot - prices per 100 kg</v>
          </cell>
          <cell r="I102" t="str">
            <v>Beetroot - prices per 100 kg</v>
          </cell>
          <cell r="J102" t="str">
            <v>Beetroot - prices per 100 kg</v>
          </cell>
          <cell r="K102" t="str">
            <v>Beetroot - prices per 100 kg</v>
          </cell>
          <cell r="L102" t="str">
            <v>Beetroot - prices per 100 kg</v>
          </cell>
          <cell r="M102" t="str">
            <v>Betteraves potagères</v>
          </cell>
          <cell r="N102" t="str">
            <v>Beetroot - prices per 100 kg</v>
          </cell>
          <cell r="O102" t="str">
            <v>Beetroot - prices per 100 kg</v>
          </cell>
          <cell r="P102" t="str">
            <v>Beetroot - prices per 100 kg</v>
          </cell>
          <cell r="Q102" t="str">
            <v>Beetroot - prices per 100 kg</v>
          </cell>
          <cell r="R102" t="str">
            <v>Beetroot - prices per 100 kg</v>
          </cell>
          <cell r="S102" t="str">
            <v>Beetroot - prices per 100 kg</v>
          </cell>
          <cell r="T102" t="str">
            <v>Beetroot - prices per 100 kg</v>
          </cell>
          <cell r="U102" t="str">
            <v>Beetroot - prices per 100 kg</v>
          </cell>
          <cell r="V102" t="str">
            <v>Beetroot - prices per 100 kg</v>
          </cell>
          <cell r="W102" t="str">
            <v>Beetroot - prices per 100 kg</v>
          </cell>
          <cell r="X102" t="str">
            <v>Beetroot - prices per 100 kg</v>
          </cell>
        </row>
        <row r="103">
          <cell r="A103" t="str">
            <v>06199200</v>
          </cell>
          <cell r="B103">
            <v>3966</v>
          </cell>
          <cell r="C103" t="str">
            <v>u7</v>
          </cell>
          <cell r="D103" t="str">
            <v>g36</v>
          </cell>
          <cell r="E103" t="str">
            <v>Raspberries - prices per 100 kg</v>
          </cell>
          <cell r="F103" t="str">
            <v>Raspberries - prices per 100 kg</v>
          </cell>
          <cell r="G103" t="str">
            <v>Himbeeren</v>
          </cell>
          <cell r="H103" t="str">
            <v>Raspberries - prices per 100 kg</v>
          </cell>
          <cell r="I103" t="str">
            <v>Raspberries - prices per 100 kg</v>
          </cell>
          <cell r="J103" t="str">
            <v>Raspberries - prices per 100 kg</v>
          </cell>
          <cell r="K103" t="str">
            <v>Raspberries - prices per 100 kg</v>
          </cell>
          <cell r="L103" t="str">
            <v>Raspberries - prices per 100 kg</v>
          </cell>
          <cell r="M103" t="str">
            <v>Framboises</v>
          </cell>
          <cell r="N103" t="str">
            <v>Raspberries - prices per 100 kg</v>
          </cell>
          <cell r="O103" t="str">
            <v>Raspberries - prices per 100 kg</v>
          </cell>
          <cell r="P103" t="str">
            <v>Raspberries - prices per 100 kg</v>
          </cell>
          <cell r="Q103" t="str">
            <v>Raspberries - prices per 100 kg</v>
          </cell>
          <cell r="R103" t="str">
            <v>Raspberries - prices per 100 kg</v>
          </cell>
          <cell r="S103" t="str">
            <v>Raspberries - prices per 100 kg</v>
          </cell>
          <cell r="T103" t="str">
            <v>Raspberries - prices per 100 kg</v>
          </cell>
          <cell r="U103" t="str">
            <v>Raspberries - prices per 100 kg</v>
          </cell>
          <cell r="V103" t="str">
            <v>Raspberries - prices per 100 kg</v>
          </cell>
          <cell r="W103" t="str">
            <v>Raspberries - prices per 100 kg</v>
          </cell>
          <cell r="X103" t="str">
            <v>Raspberries - prices per 100 kg</v>
          </cell>
        </row>
        <row r="104">
          <cell r="A104" t="str">
            <v>06199300</v>
          </cell>
          <cell r="B104">
            <v>3968</v>
          </cell>
          <cell r="C104" t="str">
            <v>u7</v>
          </cell>
          <cell r="D104" t="str">
            <v>g36</v>
          </cell>
          <cell r="E104" t="str">
            <v>Blackcurrents - prices per 100 kg</v>
          </cell>
          <cell r="F104" t="str">
            <v>Blackcurrents - prices per 100 kg</v>
          </cell>
          <cell r="G104" t="str">
            <v>Schwarze Johannisbeeren</v>
          </cell>
          <cell r="H104" t="str">
            <v>Blackcurrents - prices per 100 kg</v>
          </cell>
          <cell r="I104" t="str">
            <v>Blackcurrents - prices per 100 kg</v>
          </cell>
          <cell r="J104" t="str">
            <v>Blackcurrents - prices per 100 kg</v>
          </cell>
          <cell r="K104" t="str">
            <v>Blackcurrents - prices per 100 kg</v>
          </cell>
          <cell r="L104" t="str">
            <v>Blackcurrents - prices per 100 kg</v>
          </cell>
          <cell r="M104" t="str">
            <v>Cassis</v>
          </cell>
          <cell r="N104" t="str">
            <v>Blackcurrents - prices per 100 kg</v>
          </cell>
          <cell r="O104" t="str">
            <v>Blackcurrents - prices per 100 kg</v>
          </cell>
          <cell r="P104" t="str">
            <v>Blackcurrents - prices per 100 kg</v>
          </cell>
          <cell r="Q104" t="str">
            <v>Blackcurrents - prices per 100 kg</v>
          </cell>
          <cell r="R104" t="str">
            <v>Blackcurrents - prices per 100 kg</v>
          </cell>
          <cell r="S104" t="str">
            <v>Blackcurrents - prices per 100 kg</v>
          </cell>
          <cell r="T104" t="str">
            <v>Blackcurrents - prices per 100 kg</v>
          </cell>
          <cell r="U104" t="str">
            <v>Blackcurrents - prices per 100 kg</v>
          </cell>
          <cell r="V104" t="str">
            <v>Blackcurrents - prices per 100 kg</v>
          </cell>
          <cell r="W104" t="str">
            <v>Blackcurrents - prices per 100 kg</v>
          </cell>
          <cell r="X104" t="str">
            <v>Blackcurrents - prices per 100 kg</v>
          </cell>
        </row>
        <row r="105">
          <cell r="A105" t="str">
            <v>11120000</v>
          </cell>
          <cell r="B105">
            <v>4161</v>
          </cell>
          <cell r="C105" t="str">
            <v>u3</v>
          </cell>
          <cell r="D105" t="str">
            <v>g2</v>
          </cell>
          <cell r="E105" t="str">
            <v>Calves - prices per 100 kg live weight</v>
          </cell>
          <cell r="F105" t="str">
            <v>Calves - prices per 100 kg live weight</v>
          </cell>
          <cell r="G105" t="str">
            <v>Kälber</v>
          </cell>
          <cell r="H105" t="str">
            <v>Calves - prices per 100 kg live weight</v>
          </cell>
          <cell r="I105" t="str">
            <v>Calves - prices per 100 kg live weight</v>
          </cell>
          <cell r="J105" t="str">
            <v>Calves - prices per 100 kg live weight</v>
          </cell>
          <cell r="K105" t="str">
            <v>Calves - prices per 100 kg live weight</v>
          </cell>
          <cell r="L105" t="str">
            <v>Calves - prices per 100 kg live weight</v>
          </cell>
          <cell r="M105" t="str">
            <v>Jeunes bovins</v>
          </cell>
          <cell r="N105" t="str">
            <v>Calves - prices per 100 kg live weight</v>
          </cell>
          <cell r="O105" t="str">
            <v>Calves - prices per 100 kg live weight</v>
          </cell>
          <cell r="P105" t="str">
            <v>Calves - prices per 100 kg live weight</v>
          </cell>
          <cell r="Q105" t="str">
            <v>Calves - prices per 100 kg live weight</v>
          </cell>
          <cell r="R105" t="str">
            <v>Calves - prices per 100 kg live weight</v>
          </cell>
          <cell r="S105" t="str">
            <v>Calves - prices per 100 kg live weight</v>
          </cell>
          <cell r="T105" t="str">
            <v>Calves - prices per 100 kg live weight</v>
          </cell>
          <cell r="U105" t="str">
            <v>Calves - prices per 100 kg live weight</v>
          </cell>
          <cell r="V105" t="str">
            <v>Calves - prices per 100 kg live weight</v>
          </cell>
          <cell r="W105" t="str">
            <v>Calves - prices per 100 kg live weight</v>
          </cell>
          <cell r="X105" t="str">
            <v>Calves - prices per 100 kg live weight</v>
          </cell>
        </row>
        <row r="106">
          <cell r="A106" t="str">
            <v>11110000</v>
          </cell>
          <cell r="B106">
            <v>4234</v>
          </cell>
          <cell r="C106" t="str">
            <v>u9</v>
          </cell>
          <cell r="D106" t="str">
            <v>g2</v>
          </cell>
          <cell r="E106" t="str">
            <v>Young cattle - prices per 100 kg live weight</v>
          </cell>
          <cell r="F106" t="str">
            <v>Young cattle - prices per 100 kg live weight</v>
          </cell>
          <cell r="G106" t="str">
            <v>Jungrinder zur Aufzucht</v>
          </cell>
          <cell r="H106" t="str">
            <v>Young cattle - prices per 100 kg live weight</v>
          </cell>
          <cell r="I106" t="str">
            <v>Young cattle - prices per 100 kg live weight</v>
          </cell>
          <cell r="J106" t="str">
            <v>Young cattle - prices per 100 kg live weight</v>
          </cell>
          <cell r="K106" t="str">
            <v>Young cattle - prices per 100 kg live weight</v>
          </cell>
          <cell r="L106" t="str">
            <v>Young cattle - prices per 100 kg live weight</v>
          </cell>
          <cell r="M106" t="str">
            <v>Jeunes bovins d'élévage</v>
          </cell>
          <cell r="N106" t="str">
            <v>Young cattle - prices per 100 kg live weight</v>
          </cell>
          <cell r="O106" t="str">
            <v>Young cattle - prices per 100 kg live weight</v>
          </cell>
          <cell r="P106" t="str">
            <v>Young cattle - prices per 100 kg live weight</v>
          </cell>
          <cell r="Q106" t="str">
            <v>Young cattle - prices per 100 kg live weight</v>
          </cell>
          <cell r="R106" t="str">
            <v>Young cattle - prices per 100 kg live weight</v>
          </cell>
          <cell r="S106" t="str">
            <v>Young cattle - prices per 100 kg live weight</v>
          </cell>
          <cell r="T106" t="str">
            <v>Young cattle - prices per 100 kg live weight</v>
          </cell>
          <cell r="U106" t="str">
            <v>Young cattle - prices per 100 kg live weight</v>
          </cell>
          <cell r="V106" t="str">
            <v>Young cattle - prices per 100 kg live weight</v>
          </cell>
          <cell r="W106" t="str">
            <v>Young cattle - prices per 100 kg live weight</v>
          </cell>
          <cell r="X106" t="str">
            <v>Young cattle - prices per 100 kg live weight</v>
          </cell>
        </row>
        <row r="107">
          <cell r="A107" t="str">
            <v>11112000</v>
          </cell>
          <cell r="B107">
            <v>4162</v>
          </cell>
          <cell r="C107" t="str">
            <v>u3</v>
          </cell>
          <cell r="D107" t="str">
            <v>g2</v>
          </cell>
          <cell r="E107" t="str">
            <v>Heifers - prices per 100 kg live weight</v>
          </cell>
          <cell r="F107" t="str">
            <v>Heifers - prices per 100 kg live weight</v>
          </cell>
          <cell r="G107" t="str">
            <v>Färsen</v>
          </cell>
          <cell r="H107" t="str">
            <v>Heifers - prices per 100 kg live weight</v>
          </cell>
          <cell r="I107" t="str">
            <v>Heifers - prices per 100 kg live weight</v>
          </cell>
          <cell r="J107" t="str">
            <v>Heifers - prices per 100 kg live weight</v>
          </cell>
          <cell r="K107" t="str">
            <v>Heifers - prices per 100 kg live weight</v>
          </cell>
          <cell r="L107" t="str">
            <v>Heifers - prices per 100 kg live weight</v>
          </cell>
          <cell r="M107" t="str">
            <v>Génisses</v>
          </cell>
          <cell r="N107" t="str">
            <v>Heifers - prices per 100 kg live weight</v>
          </cell>
          <cell r="O107" t="str">
            <v>Heifers - prices per 100 kg live weight</v>
          </cell>
          <cell r="P107" t="str">
            <v>Heifers - prices per 100 kg live weight</v>
          </cell>
          <cell r="Q107" t="str">
            <v>Heifers - prices per 100 kg live weight</v>
          </cell>
          <cell r="R107" t="str">
            <v>Heifers - prices per 100 kg live weight</v>
          </cell>
          <cell r="S107" t="str">
            <v>Heifers - prices per 100 kg live weight</v>
          </cell>
          <cell r="T107" t="str">
            <v>Heifers - prices per 100 kg live weight</v>
          </cell>
          <cell r="U107" t="str">
            <v>Heifers - prices per 100 kg live weight</v>
          </cell>
          <cell r="V107" t="str">
            <v>Heifers - prices per 100 kg live weight</v>
          </cell>
          <cell r="W107" t="str">
            <v>Heifers - prices per 100 kg live weight</v>
          </cell>
          <cell r="X107" t="str">
            <v>Heifers - prices per 100 kg live weight</v>
          </cell>
        </row>
        <row r="108">
          <cell r="A108" t="str">
            <v>11113000</v>
          </cell>
          <cell r="B108">
            <v>4235</v>
          </cell>
          <cell r="C108" t="str">
            <v>u9</v>
          </cell>
          <cell r="D108" t="str">
            <v>g2</v>
          </cell>
          <cell r="E108" t="str">
            <v>Cows - prices per 100 kg live weight</v>
          </cell>
          <cell r="F108" t="str">
            <v>Cows - prices per 100 kg live weight</v>
          </cell>
          <cell r="G108" t="str">
            <v>Kühe</v>
          </cell>
          <cell r="H108" t="str">
            <v>Cows - prices per 100 kg live weight</v>
          </cell>
          <cell r="I108" t="str">
            <v>Cows - prices per 100 kg live weight</v>
          </cell>
          <cell r="J108" t="str">
            <v>Cows - prices per 100 kg live weight</v>
          </cell>
          <cell r="K108" t="str">
            <v>Cows - prices per 100 kg live weight</v>
          </cell>
          <cell r="L108" t="str">
            <v>Cows - prices per 100 kg live weight</v>
          </cell>
          <cell r="M108" t="str">
            <v>Vaches</v>
          </cell>
          <cell r="N108" t="str">
            <v>Cows - prices per 100 kg live weight</v>
          </cell>
          <cell r="O108" t="str">
            <v>Cows - prices per 100 kg live weight</v>
          </cell>
          <cell r="P108" t="str">
            <v>Cows - prices per 100 kg live weight</v>
          </cell>
          <cell r="Q108" t="str">
            <v>Cows - prices per 100 kg live weight</v>
          </cell>
          <cell r="R108" t="str">
            <v>Cows - prices per 100 kg live weight</v>
          </cell>
          <cell r="S108" t="str">
            <v>Cows - prices per 100 kg live weight</v>
          </cell>
          <cell r="T108" t="str">
            <v>Cows - prices per 100 kg live weight</v>
          </cell>
          <cell r="U108" t="str">
            <v>Cows - prices per 100 kg live weight</v>
          </cell>
          <cell r="V108" t="str">
            <v>Cows - prices per 100 kg live weight</v>
          </cell>
          <cell r="W108" t="str">
            <v>Cows - prices per 100 kg live weight</v>
          </cell>
          <cell r="X108" t="str">
            <v>Cows - prices per 100 kg live weight</v>
          </cell>
        </row>
        <row r="109">
          <cell r="A109" t="str">
            <v>11114000</v>
          </cell>
          <cell r="C109" t="str">
            <v>u3</v>
          </cell>
          <cell r="D109" t="str">
            <v>g4</v>
          </cell>
          <cell r="E109" t="str">
            <v>Bullocks - prices per 100 kg live weight</v>
          </cell>
          <cell r="F109" t="str">
            <v>Bullocks - prices per 100 kg live weight</v>
          </cell>
          <cell r="G109" t="str">
            <v>Ochsen</v>
          </cell>
          <cell r="H109" t="str">
            <v>Bullocks - prices per 100 kg live weight</v>
          </cell>
          <cell r="I109" t="str">
            <v>Bullocks - prices per 100 kg live weight</v>
          </cell>
          <cell r="J109" t="str">
            <v>Bullocks - prices per 100 kg live weight</v>
          </cell>
          <cell r="K109" t="str">
            <v>Bullocks - prices per 100 kg live weight</v>
          </cell>
          <cell r="L109" t="str">
            <v>Bullocks - prices per 100 kg live weight</v>
          </cell>
          <cell r="M109" t="str">
            <v>Boeufs</v>
          </cell>
          <cell r="N109" t="str">
            <v>Bullocks - prices per 100 kg live weight</v>
          </cell>
          <cell r="O109" t="str">
            <v>Bullocks - prices per 100 kg live weight</v>
          </cell>
          <cell r="P109" t="str">
            <v>Bullocks - prices per 100 kg live weight</v>
          </cell>
          <cell r="Q109" t="str">
            <v>Bullocks - prices per 100 kg live weight</v>
          </cell>
          <cell r="R109" t="str">
            <v>Bullocks - prices per 100 kg live weight</v>
          </cell>
          <cell r="S109" t="str">
            <v>Bullocks - prices per 100 kg live weight</v>
          </cell>
          <cell r="T109" t="str">
            <v>Bullocks - prices per 100 kg live weight</v>
          </cell>
          <cell r="U109" t="str">
            <v>Bullocks - prices per 100 kg live weight</v>
          </cell>
          <cell r="V109" t="str">
            <v>Bullocks - prices per 100 kg live weight</v>
          </cell>
          <cell r="W109" t="str">
            <v>Bullocks - prices per 100 kg live weight</v>
          </cell>
          <cell r="X109" t="str">
            <v>Bullocks - prices per 100 kg live weight</v>
          </cell>
        </row>
        <row r="110">
          <cell r="A110" t="str">
            <v>11121000</v>
          </cell>
          <cell r="B110">
            <v>4180</v>
          </cell>
          <cell r="C110" t="str">
            <v>u3</v>
          </cell>
          <cell r="D110" t="str">
            <v>g3</v>
          </cell>
          <cell r="E110" t="str">
            <v>Calves (of a few days) - prices per head</v>
          </cell>
          <cell r="F110" t="str">
            <v>Calves (of a few days) - prices per head</v>
          </cell>
          <cell r="G110" t="str">
            <v>Ochsen</v>
          </cell>
          <cell r="H110" t="str">
            <v>Calves (of a few days) - prices per head</v>
          </cell>
          <cell r="I110" t="str">
            <v>Calves (of a few days) - prices per head</v>
          </cell>
          <cell r="J110" t="str">
            <v>Calves (of a few days) - prices per head</v>
          </cell>
          <cell r="K110" t="str">
            <v>Calves (of a few days) - prices per head</v>
          </cell>
          <cell r="L110" t="str">
            <v>Calves (of a few days) - prices per head</v>
          </cell>
          <cell r="M110" t="str">
            <v>Veaux (de quelques jours)prix par tête</v>
          </cell>
          <cell r="N110" t="str">
            <v>Calves (of a few days) - prices per head</v>
          </cell>
          <cell r="O110" t="str">
            <v>Calves (of a few days) - prices per head</v>
          </cell>
          <cell r="P110" t="str">
            <v>Calves (of a few days) - prices per head</v>
          </cell>
          <cell r="Q110" t="str">
            <v>Calves (of a few days) - prices per head</v>
          </cell>
          <cell r="R110" t="str">
            <v>Calves (of a few days) - prices per head</v>
          </cell>
          <cell r="S110" t="str">
            <v>Calves (of a few days) - prices per head</v>
          </cell>
          <cell r="T110" t="str">
            <v>Calves (of a few days) - prices per head</v>
          </cell>
          <cell r="U110" t="str">
            <v>Calves (of a few days) - prices per head</v>
          </cell>
          <cell r="V110" t="str">
            <v>Calves (of a few days) - prices per head</v>
          </cell>
          <cell r="W110" t="str">
            <v>Calves (of a few days) - prices per head</v>
          </cell>
          <cell r="X110" t="str">
            <v>Calves (of a few days) - prices per head</v>
          </cell>
        </row>
        <row r="111">
          <cell r="A111" t="str">
            <v>11122000</v>
          </cell>
          <cell r="B111">
            <v>4150</v>
          </cell>
          <cell r="C111" t="str">
            <v>u3</v>
          </cell>
          <cell r="D111" t="str">
            <v>g5</v>
          </cell>
          <cell r="E111" t="str">
            <v>Calves (of a few weeks) - prices per head</v>
          </cell>
          <cell r="F111" t="str">
            <v>Calves (of a few weeks) - prices per head</v>
          </cell>
          <cell r="G111" t="str">
            <v>Kälber (einige Tage alt)</v>
          </cell>
          <cell r="H111" t="str">
            <v>Calves (of a few weeks) - prices per head</v>
          </cell>
          <cell r="I111" t="str">
            <v>Calves (of a few weeks) - prices per head</v>
          </cell>
          <cell r="J111" t="str">
            <v>Calves (of a few weeks) - prices per head</v>
          </cell>
          <cell r="K111" t="str">
            <v>Calves (of a few weeks) - prices per head</v>
          </cell>
          <cell r="L111" t="str">
            <v>Calves (of a few weeks) - prices per head</v>
          </cell>
          <cell r="M111" t="str">
            <v>Veaux (de quelques semaines) prix par tête</v>
          </cell>
          <cell r="N111" t="str">
            <v>Calves (of a few weeks) - prices per head</v>
          </cell>
          <cell r="O111" t="str">
            <v>Calves (of a few weeks) - prices per head</v>
          </cell>
          <cell r="P111" t="str">
            <v>Calves (of a few weeks) - prices per head</v>
          </cell>
          <cell r="Q111" t="str">
            <v>Calves (of a few weeks) - prices per head</v>
          </cell>
          <cell r="R111" t="str">
            <v>Calves (of a few weeks) - prices per head</v>
          </cell>
          <cell r="S111" t="str">
            <v>Calves (of a few weeks) - prices per head</v>
          </cell>
          <cell r="T111" t="str">
            <v>Calves (of a few weeks) - prices per head</v>
          </cell>
          <cell r="U111" t="str">
            <v>Calves (of a few weeks) - prices per head</v>
          </cell>
          <cell r="V111" t="str">
            <v>Calves (of a few weeks) - prices per head</v>
          </cell>
          <cell r="W111" t="str">
            <v>Calves (of a few weeks) - prices per head</v>
          </cell>
          <cell r="X111" t="str">
            <v>Calves (of a few weeks) - prices per head</v>
          </cell>
        </row>
        <row r="112">
          <cell r="A112" t="str">
            <v>11111000</v>
          </cell>
          <cell r="B112">
            <v>4232</v>
          </cell>
          <cell r="C112" t="str">
            <v>u9</v>
          </cell>
          <cell r="D112" t="str">
            <v>g5</v>
          </cell>
          <cell r="E112" t="str">
            <v>Young cattle (store) - prices per head</v>
          </cell>
          <cell r="F112" t="str">
            <v>Young cattle (store) - prices per head</v>
          </cell>
          <cell r="G112" t="str">
            <v>Kälber (einige Wochen alt)</v>
          </cell>
          <cell r="H112" t="str">
            <v>Young cattle (store) - prices per head</v>
          </cell>
          <cell r="I112" t="str">
            <v>Young cattle (store) - prices per head</v>
          </cell>
          <cell r="J112" t="str">
            <v>Young cattle (store) - prices per head</v>
          </cell>
          <cell r="K112" t="str">
            <v>Young cattle (store) - prices per head</v>
          </cell>
          <cell r="L112" t="str">
            <v>Young cattle (store) - prices per head</v>
          </cell>
          <cell r="M112" t="str">
            <v>Jeunes Veaux d'élévage(prix par tête)</v>
          </cell>
          <cell r="N112" t="str">
            <v>Young cattle (store) - prices per head</v>
          </cell>
          <cell r="O112" t="str">
            <v>Young cattle (store) - prices per head</v>
          </cell>
          <cell r="P112" t="str">
            <v>Young cattle (store) - prices per head</v>
          </cell>
          <cell r="Q112" t="str">
            <v>Young cattle (store) - prices per head</v>
          </cell>
          <cell r="R112" t="str">
            <v>Young cattle (store) - prices per head</v>
          </cell>
          <cell r="S112" t="str">
            <v>Young cattle (store) - prices per head</v>
          </cell>
          <cell r="T112" t="str">
            <v>Young cattle (store) - prices per head</v>
          </cell>
          <cell r="U112" t="str">
            <v>Young cattle (store) - prices per head</v>
          </cell>
          <cell r="V112" t="str">
            <v>Young cattle (store) - prices per head</v>
          </cell>
          <cell r="W112" t="str">
            <v>Young cattle (store) - prices per head</v>
          </cell>
          <cell r="X112" t="str">
            <v>Young cattle (store) - prices per head</v>
          </cell>
        </row>
        <row r="113">
          <cell r="A113" t="str">
            <v>11112100</v>
          </cell>
          <cell r="B113">
            <v>4233</v>
          </cell>
          <cell r="C113" t="str">
            <v>u9</v>
          </cell>
          <cell r="D113" t="str">
            <v>g5</v>
          </cell>
          <cell r="E113" t="str">
            <v>Heifers (store) - prices per head</v>
          </cell>
          <cell r="F113" t="str">
            <v>Heifers (store) - prices per head</v>
          </cell>
          <cell r="G113" t="str">
            <v>Färsen zur Aufzucht</v>
          </cell>
          <cell r="H113" t="str">
            <v>Heifers (store) - prices per head</v>
          </cell>
          <cell r="I113" t="str">
            <v>Heifers (store) - prices per head</v>
          </cell>
          <cell r="J113" t="str">
            <v>Heifers (store) - prices per head</v>
          </cell>
          <cell r="K113" t="str">
            <v>Heifers (store) - prices per head</v>
          </cell>
          <cell r="L113" t="str">
            <v>Heifers (store) - prices per head</v>
          </cell>
          <cell r="M113" t="str">
            <v>Génisses d'élevage (prix par tête)</v>
          </cell>
          <cell r="N113" t="str">
            <v>Heifers (store) - prices per head</v>
          </cell>
          <cell r="O113" t="str">
            <v>Heifers (store) - prices per head</v>
          </cell>
          <cell r="P113" t="str">
            <v>Heifers (store) - prices per head</v>
          </cell>
          <cell r="Q113" t="str">
            <v>Heifers (store) - prices per head</v>
          </cell>
          <cell r="R113" t="str">
            <v>Heifers (store) - prices per head</v>
          </cell>
          <cell r="S113" t="str">
            <v>Heifers (store) - prices per head</v>
          </cell>
          <cell r="T113" t="str">
            <v>Heifers (store) - prices per head</v>
          </cell>
          <cell r="U113" t="str">
            <v>Heifers (store) - prices per head</v>
          </cell>
          <cell r="V113" t="str">
            <v>Heifers (store) - prices per head</v>
          </cell>
          <cell r="W113" t="str">
            <v>Heifers (store) - prices per head</v>
          </cell>
          <cell r="X113" t="str">
            <v>Heifers (store) - prices per head</v>
          </cell>
        </row>
        <row r="114">
          <cell r="A114" t="str">
            <v>11210000</v>
          </cell>
          <cell r="B114">
            <v>4412</v>
          </cell>
          <cell r="C114" t="str">
            <v>u3</v>
          </cell>
          <cell r="D114" t="str">
            <v>g58</v>
          </cell>
          <cell r="E114" t="str">
            <v>Pigs (light) - prices per 100 kg live weight</v>
          </cell>
          <cell r="F114" t="str">
            <v>Pigs (light) - prices per 100 kg live weight</v>
          </cell>
          <cell r="G114" t="str">
            <v>Schweine (leicht)</v>
          </cell>
          <cell r="H114" t="str">
            <v>Pigs (light) - prices per 100 kg live weight</v>
          </cell>
          <cell r="I114" t="str">
            <v>Pigs (light) - prices per 100 kg live weight</v>
          </cell>
          <cell r="J114" t="str">
            <v>Pigs (light) - prices per 100 kg live weight</v>
          </cell>
          <cell r="K114" t="str">
            <v>Pigs (light) - prices per 100 kg live weight</v>
          </cell>
          <cell r="L114" t="str">
            <v>Pigs (light) - prices per 100 kg live weight</v>
          </cell>
          <cell r="M114" t="str">
            <v>Porcs (légers)</v>
          </cell>
          <cell r="N114" t="str">
            <v>Pigs (light) - prices per 100 kg live weight</v>
          </cell>
          <cell r="O114" t="str">
            <v>Pigs (light) - prices per 100 kg live weight</v>
          </cell>
          <cell r="P114" t="str">
            <v>Pigs (light) - prices per 100 kg live weight</v>
          </cell>
          <cell r="Q114" t="str">
            <v>Pigs (light) - prices per 100 kg live weight</v>
          </cell>
          <cell r="R114" t="str">
            <v>Pigs (light) - prices per 100 kg live weight</v>
          </cell>
          <cell r="S114" t="str">
            <v>Pigs (light) - prices per 100 kg live weight</v>
          </cell>
          <cell r="T114" t="str">
            <v>Pigs (light) - prices per 100 kg live weight</v>
          </cell>
          <cell r="U114" t="str">
            <v>Pigs (light) - prices per 100 kg live weight</v>
          </cell>
          <cell r="V114" t="str">
            <v>Pigs (light) - prices per 100 kg live weight</v>
          </cell>
          <cell r="W114" t="str">
            <v>Pigs (light) - prices per 100 kg live weight</v>
          </cell>
          <cell r="X114" t="str">
            <v>Pigs (light) - prices per 100 kg live weight</v>
          </cell>
        </row>
        <row r="115">
          <cell r="A115" t="str">
            <v>11220000</v>
          </cell>
          <cell r="B115">
            <v>4421</v>
          </cell>
          <cell r="C115" t="str">
            <v>u10</v>
          </cell>
          <cell r="D115" t="str">
            <v>g58</v>
          </cell>
          <cell r="E115" t="str">
            <v>Pigs (carcasses) (grade II) - prices per 100 kg</v>
          </cell>
          <cell r="F115" t="str">
            <v>Pigs (carcasses) (grade II) - prices per 100 kg</v>
          </cell>
          <cell r="G115" t="str">
            <v>Schweine (Schlachtkörper) - Klasse II</v>
          </cell>
          <cell r="H115" t="str">
            <v>Pigs (carcasses) (grade II) - prices per 100 kg</v>
          </cell>
          <cell r="I115" t="str">
            <v>Pigs (carcasses) (grade II) - prices per 100 kg</v>
          </cell>
          <cell r="J115" t="str">
            <v>Pigs (carcasses) (grade II) - prices per 100 kg</v>
          </cell>
          <cell r="K115" t="str">
            <v>Pigs (carcasses) (grade II) - prices per 100 kg</v>
          </cell>
          <cell r="L115" t="str">
            <v>Pigs (carcasses) (grade II) - prices per 100 kg</v>
          </cell>
          <cell r="M115" t="str">
            <v>Porcs (carcasses) - classe II</v>
          </cell>
          <cell r="N115" t="str">
            <v>Pigs (carcasses) (grade II) - prices per 100 kg</v>
          </cell>
          <cell r="O115" t="str">
            <v>Pigs (carcasses) (grade II) - prices per 100 kg</v>
          </cell>
          <cell r="P115" t="str">
            <v>Pigs (carcasses) (grade II) - prices per 100 kg</v>
          </cell>
          <cell r="Q115" t="str">
            <v>Pigs (carcasses) (grade II) - prices per 100 kg</v>
          </cell>
          <cell r="R115" t="str">
            <v>Pigs (carcasses) (grade II) - prices per 100 kg</v>
          </cell>
          <cell r="S115" t="str">
            <v>Pigs (carcasses) (grade II) - prices per 100 kg</v>
          </cell>
          <cell r="T115" t="str">
            <v>Pigs (carcasses) (grade II) - prices per 100 kg</v>
          </cell>
          <cell r="U115" t="str">
            <v>Pigs (carcasses) (grade II) - prices per 100 kg</v>
          </cell>
          <cell r="V115" t="str">
            <v>Pigs (carcasses) (grade II) - prices per 100 kg</v>
          </cell>
          <cell r="W115" t="str">
            <v>Pigs (carcasses) (grade II) - prices per 100 kg</v>
          </cell>
          <cell r="X115" t="str">
            <v>Pigs (carcasses) (grade II) - prices per 100 kg</v>
          </cell>
        </row>
        <row r="116">
          <cell r="A116" t="str">
            <v>11230000</v>
          </cell>
          <cell r="B116">
            <v>4425</v>
          </cell>
          <cell r="C116" t="str">
            <v>u10</v>
          </cell>
          <cell r="D116" t="str">
            <v>g58</v>
          </cell>
          <cell r="E116" t="str">
            <v>Pigs (carcasses) (grade I) - prices per 100 kg</v>
          </cell>
          <cell r="F116" t="str">
            <v>Pigs (carcasses) (grade I) - prices per 100 kg</v>
          </cell>
          <cell r="G116" t="str">
            <v>Schweine (Schlachtkörper) - Klasse I</v>
          </cell>
          <cell r="H116" t="str">
            <v>Pigs (carcasses) (grade I) - prices per 100 kg</v>
          </cell>
          <cell r="I116" t="str">
            <v>Pigs (carcasses) (grade I) - prices per 100 kg</v>
          </cell>
          <cell r="J116" t="str">
            <v>Pigs (carcasses) (grade I) - prices per 100 kg</v>
          </cell>
          <cell r="K116" t="str">
            <v>Pigs (carcasses) (grade I) - prices per 100 kg</v>
          </cell>
          <cell r="L116" t="str">
            <v>Pigs (carcasses) (grade I) - prices per 100 kg</v>
          </cell>
          <cell r="M116" t="str">
            <v>Porcs (carcasses) - classe I</v>
          </cell>
          <cell r="N116" t="str">
            <v>Pigs (carcasses) (grade I) - prices per 100 kg</v>
          </cell>
          <cell r="O116" t="str">
            <v>Pigs (carcasses) (grade I) - prices per 100 kg</v>
          </cell>
          <cell r="P116" t="str">
            <v>Pigs (carcasses) (grade I) - prices per 100 kg</v>
          </cell>
          <cell r="Q116" t="str">
            <v>Pigs (carcasses) (grade I) - prices per 100 kg</v>
          </cell>
          <cell r="R116" t="str">
            <v>Pigs (carcasses) (grade I) - prices per 100 kg</v>
          </cell>
          <cell r="S116" t="str">
            <v>Pigs (carcasses) (grade I) - prices per 100 kg</v>
          </cell>
          <cell r="T116" t="str">
            <v>Pigs (carcasses) (grade I) - prices per 100 kg</v>
          </cell>
          <cell r="U116" t="str">
            <v>Pigs (carcasses) (grade I) - prices per 100 kg</v>
          </cell>
          <cell r="V116" t="str">
            <v>Pigs (carcasses) (grade I) - prices per 100 kg</v>
          </cell>
          <cell r="W116" t="str">
            <v>Pigs (carcasses) (grade I) - prices per 100 kg</v>
          </cell>
          <cell r="X116" t="str">
            <v>Pigs (carcasses) (grade I) - prices per 100 kg</v>
          </cell>
        </row>
        <row r="117">
          <cell r="A117" t="str">
            <v>11240000</v>
          </cell>
          <cell r="B117">
            <v>4440</v>
          </cell>
          <cell r="C117" t="str">
            <v>u3</v>
          </cell>
          <cell r="D117" t="str">
            <v>g58</v>
          </cell>
          <cell r="E117" t="str">
            <v>Piglets - prices per 100 kg live weight</v>
          </cell>
          <cell r="F117" t="str">
            <v>Piglets - prices per 100 kg live weight</v>
          </cell>
          <cell r="G117" t="str">
            <v>Ferkel</v>
          </cell>
          <cell r="H117" t="str">
            <v>Piglets - prices per 100 kg live weight</v>
          </cell>
          <cell r="I117" t="str">
            <v>Piglets - prices per 100 kg live weight</v>
          </cell>
          <cell r="J117" t="str">
            <v>Piglets - prices per 100 kg live weight</v>
          </cell>
          <cell r="K117" t="str">
            <v>Piglets - prices per 100 kg live weight</v>
          </cell>
          <cell r="L117" t="str">
            <v>Piglets - prices per 100 kg live weight</v>
          </cell>
          <cell r="M117" t="str">
            <v>Porcelets</v>
          </cell>
          <cell r="N117" t="str">
            <v>Piglets - prices per 100 kg live weight</v>
          </cell>
          <cell r="O117" t="str">
            <v>Piglets - prices per 100 kg live weight</v>
          </cell>
          <cell r="P117" t="str">
            <v>Piglets - prices per 100 kg live weight</v>
          </cell>
          <cell r="Q117" t="str">
            <v>Piglets - prices per 100 kg live weight</v>
          </cell>
          <cell r="R117" t="str">
            <v>Piglets - prices per 100 kg live weight</v>
          </cell>
          <cell r="S117" t="str">
            <v>Piglets - prices per 100 kg live weight</v>
          </cell>
          <cell r="T117" t="str">
            <v>Piglets - prices per 100 kg live weight</v>
          </cell>
          <cell r="U117" t="str">
            <v>Piglets - prices per 100 kg live weight</v>
          </cell>
          <cell r="V117" t="str">
            <v>Piglets - prices per 100 kg live weight</v>
          </cell>
          <cell r="W117" t="str">
            <v>Piglets - prices per 100 kg live weight</v>
          </cell>
          <cell r="X117" t="str">
            <v>Piglets - prices per 100 kg live weight</v>
          </cell>
        </row>
        <row r="118">
          <cell r="A118" t="str">
            <v>11300000</v>
          </cell>
          <cell r="B118">
            <v>4610</v>
          </cell>
          <cell r="C118" t="str">
            <v>u3</v>
          </cell>
          <cell r="D118" t="str">
            <v>g19</v>
          </cell>
          <cell r="E118" t="str">
            <v>Horses - prices per 100 kg live weight</v>
          </cell>
          <cell r="F118" t="str">
            <v>Horses - prices per 100 kg live weight</v>
          </cell>
          <cell r="G118" t="str">
            <v>Pferde</v>
          </cell>
          <cell r="H118" t="str">
            <v>Horses - prices per 100 kg live weight</v>
          </cell>
          <cell r="I118" t="str">
            <v>Horses - prices per 100 kg live weight</v>
          </cell>
          <cell r="J118" t="str">
            <v>Horses - prices per 100 kg live weight</v>
          </cell>
          <cell r="K118" t="str">
            <v>Horses - prices per 100 kg live weight</v>
          </cell>
          <cell r="L118" t="str">
            <v>Horses - prices per 100 kg live weight</v>
          </cell>
          <cell r="M118" t="str">
            <v>Chevaux</v>
          </cell>
          <cell r="N118" t="str">
            <v>Horses - prices per 100 kg live weight</v>
          </cell>
          <cell r="O118" t="str">
            <v>Horses - prices per 100 kg live weight</v>
          </cell>
          <cell r="P118" t="str">
            <v>Horses - prices per 100 kg live weight</v>
          </cell>
          <cell r="Q118" t="str">
            <v>Horses - prices per 100 kg live weight</v>
          </cell>
          <cell r="R118" t="str">
            <v>Horses - prices per 100 kg live weight</v>
          </cell>
          <cell r="S118" t="str">
            <v>Horses - prices per 100 kg live weight</v>
          </cell>
          <cell r="T118" t="str">
            <v>Horses - prices per 100 kg live weight</v>
          </cell>
          <cell r="U118" t="str">
            <v>Horses - prices per 100 kg live weight</v>
          </cell>
          <cell r="V118" t="str">
            <v>Horses - prices per 100 kg live weight</v>
          </cell>
          <cell r="W118" t="str">
            <v>Horses - prices per 100 kg live weight</v>
          </cell>
          <cell r="X118" t="str">
            <v>Horses - prices per 100 kg live weight</v>
          </cell>
        </row>
        <row r="119">
          <cell r="A119" t="str">
            <v>11411000</v>
          </cell>
          <cell r="B119">
            <v>4733</v>
          </cell>
          <cell r="C119" t="str">
            <v>u3</v>
          </cell>
          <cell r="D119" t="str">
            <v>g70</v>
          </cell>
          <cell r="E119" t="str">
            <v>Suckling lambs - prices per 100 kg live weight</v>
          </cell>
          <cell r="F119" t="str">
            <v>Suckling lambs - prices per 100 kg live weight</v>
          </cell>
          <cell r="G119" t="str">
            <v>Milchlämmer (weniger als 2 Monate alt)</v>
          </cell>
          <cell r="H119" t="str">
            <v>Suckling lambs - prices per 100 kg live weight</v>
          </cell>
          <cell r="I119" t="str">
            <v>Suckling lambs - prices per 100 kg live weight</v>
          </cell>
          <cell r="J119" t="str">
            <v>Suckling lambs - prices per 100 kg live weight</v>
          </cell>
          <cell r="K119" t="str">
            <v>Suckling lambs - prices per 100 kg live weight</v>
          </cell>
          <cell r="L119" t="str">
            <v>Suckling lambs - prices per 100 kg live weight</v>
          </cell>
          <cell r="M119" t="str">
            <v>Agneaux de lait (moins de 2 mois)</v>
          </cell>
          <cell r="N119" t="str">
            <v>Suckling lambs - prices per 100 kg live weight</v>
          </cell>
          <cell r="O119" t="str">
            <v>Suckling lambs - prices per 100 kg live weight</v>
          </cell>
          <cell r="P119" t="str">
            <v>Suckling lambs - prices per 100 kg live weight</v>
          </cell>
          <cell r="Q119" t="str">
            <v>Suckling lambs - prices per 100 kg live weight</v>
          </cell>
          <cell r="R119" t="str">
            <v>Suckling lambs - prices per 100 kg live weight</v>
          </cell>
          <cell r="S119" t="str">
            <v>Suckling lambs - prices per 100 kg live weight</v>
          </cell>
          <cell r="T119" t="str">
            <v>Suckling lambs - prices per 100 kg live weight</v>
          </cell>
          <cell r="U119" t="str">
            <v>Suckling lambs - prices per 100 kg live weight</v>
          </cell>
          <cell r="V119" t="str">
            <v>Suckling lambs - prices per 100 kg live weight</v>
          </cell>
          <cell r="W119" t="str">
            <v>Suckling lambs - prices per 100 kg live weight</v>
          </cell>
          <cell r="X119" t="str">
            <v>Suckling lambs - prices per 100 kg live weight</v>
          </cell>
        </row>
        <row r="120">
          <cell r="A120" t="str">
            <v>11412000</v>
          </cell>
          <cell r="B120">
            <v>4727</v>
          </cell>
          <cell r="C120" t="str">
            <v>u3</v>
          </cell>
          <cell r="D120" t="str">
            <v>g70</v>
          </cell>
          <cell r="E120" t="str">
            <v>Fattening lambs - prices per 100 kg live weight</v>
          </cell>
          <cell r="F120" t="str">
            <v>Fattening lambs - prices per 100 kg live weight</v>
          </cell>
          <cell r="G120" t="str">
            <v>Mastlämmer (zwischen 2 und 12 Monate alt)</v>
          </cell>
          <cell r="H120" t="str">
            <v>Fattening lambs - prices per 100 kg live weight</v>
          </cell>
          <cell r="I120" t="str">
            <v>Fattening lambs - prices per 100 kg live weight</v>
          </cell>
          <cell r="J120" t="str">
            <v>Fattening lambs - prices per 100 kg live weight</v>
          </cell>
          <cell r="K120" t="str">
            <v>Fattening lambs - prices per 100 kg live weight</v>
          </cell>
          <cell r="L120" t="str">
            <v>Fattening lambs - prices per 100 kg live weight</v>
          </cell>
          <cell r="M120" t="str">
            <v>Agneaux à l'engrais (entre 2 et 12 mois)</v>
          </cell>
          <cell r="N120" t="str">
            <v>Fattening lambs - prices per 100 kg live weight</v>
          </cell>
          <cell r="O120" t="str">
            <v>Fattening lambs - prices per 100 kg live weight</v>
          </cell>
          <cell r="P120" t="str">
            <v>Fattening lambs - prices per 100 kg live weight</v>
          </cell>
          <cell r="Q120" t="str">
            <v>Fattening lambs - prices per 100 kg live weight</v>
          </cell>
          <cell r="R120" t="str">
            <v>Fattening lambs - prices per 100 kg live weight</v>
          </cell>
          <cell r="S120" t="str">
            <v>Fattening lambs - prices per 100 kg live weight</v>
          </cell>
          <cell r="T120" t="str">
            <v>Fattening lambs - prices per 100 kg live weight</v>
          </cell>
          <cell r="U120" t="str">
            <v>Fattening lambs - prices per 100 kg live weight</v>
          </cell>
          <cell r="V120" t="str">
            <v>Fattening lambs - prices per 100 kg live weight</v>
          </cell>
          <cell r="W120" t="str">
            <v>Fattening lambs - prices per 100 kg live weight</v>
          </cell>
          <cell r="X120" t="str">
            <v>Fattening lambs - prices per 100 kg live weight</v>
          </cell>
        </row>
        <row r="121">
          <cell r="A121" t="str">
            <v>11410000</v>
          </cell>
          <cell r="B121">
            <v>4732</v>
          </cell>
          <cell r="C121" t="str">
            <v>u3</v>
          </cell>
          <cell r="D121" t="str">
            <v>g70</v>
          </cell>
          <cell r="E121" t="str">
            <v>Sheep - prices per 100 kg live weight</v>
          </cell>
          <cell r="F121" t="str">
            <v>Sheep - prices per 100 kg live weight</v>
          </cell>
          <cell r="G121" t="str">
            <v>Schafe (über 12 Monate alt)</v>
          </cell>
          <cell r="H121" t="str">
            <v>Sheep - prices per 100 kg live weight</v>
          </cell>
          <cell r="I121" t="str">
            <v>Sheep - prices per 100 kg live weight</v>
          </cell>
          <cell r="J121" t="str">
            <v>Sheep - prices per 100 kg live weight</v>
          </cell>
          <cell r="K121" t="str">
            <v>Sheep - prices per 100 kg live weight</v>
          </cell>
          <cell r="L121" t="str">
            <v>Sheep - prices per 100 kg live weight</v>
          </cell>
          <cell r="M121" t="str">
            <v>Moutons (plus de 12 mois)</v>
          </cell>
          <cell r="N121" t="str">
            <v>Sheep - prices per 100 kg live weight</v>
          </cell>
          <cell r="O121" t="str">
            <v>Sheep - prices per 100 kg live weight</v>
          </cell>
          <cell r="P121" t="str">
            <v>Sheep - prices per 100 kg live weight</v>
          </cell>
          <cell r="Q121" t="str">
            <v>Sheep - prices per 100 kg live weight</v>
          </cell>
          <cell r="R121" t="str">
            <v>Sheep - prices per 100 kg live weight</v>
          </cell>
          <cell r="S121" t="str">
            <v>Sheep - prices per 100 kg live weight</v>
          </cell>
          <cell r="T121" t="str">
            <v>Sheep - prices per 100 kg live weight</v>
          </cell>
          <cell r="U121" t="str">
            <v>Sheep - prices per 100 kg live weight</v>
          </cell>
          <cell r="V121" t="str">
            <v>Sheep - prices per 100 kg live weight</v>
          </cell>
          <cell r="W121" t="str">
            <v>Sheep - prices per 100 kg live weight</v>
          </cell>
          <cell r="X121" t="str">
            <v>Sheep - prices per 100 kg live weight</v>
          </cell>
        </row>
        <row r="122">
          <cell r="A122" t="str">
            <v>11421000</v>
          </cell>
          <cell r="B122">
            <v>4753</v>
          </cell>
          <cell r="C122" t="str">
            <v>u3</v>
          </cell>
          <cell r="D122" t="str">
            <v>g25</v>
          </cell>
          <cell r="E122" t="str">
            <v>Kids - prices per 100 kg live weight</v>
          </cell>
          <cell r="F122" t="str">
            <v>Kids - prices per 100 kg live weight</v>
          </cell>
          <cell r="G122" t="str">
            <v>Ziegenlämmer</v>
          </cell>
          <cell r="H122" t="str">
            <v>Kids - prices per 100 kg live weight</v>
          </cell>
          <cell r="I122" t="str">
            <v>Kids - prices per 100 kg live weight</v>
          </cell>
          <cell r="J122" t="str">
            <v>Kids - prices per 100 kg live weight</v>
          </cell>
          <cell r="K122" t="str">
            <v>Kids - prices per 100 kg live weight</v>
          </cell>
          <cell r="L122" t="str">
            <v>Kids - prices per 100 kg live weight</v>
          </cell>
          <cell r="M122" t="str">
            <v>Chevreaux</v>
          </cell>
          <cell r="N122" t="str">
            <v>Kids - prices per 100 kg live weight</v>
          </cell>
          <cell r="O122" t="str">
            <v>Kids - prices per 100 kg live weight</v>
          </cell>
          <cell r="P122" t="str">
            <v>Kids - prices per 100 kg live weight</v>
          </cell>
          <cell r="Q122" t="str">
            <v>Kids - prices per 100 kg live weight</v>
          </cell>
          <cell r="R122" t="str">
            <v>Kids - prices per 100 kg live weight</v>
          </cell>
          <cell r="S122" t="str">
            <v>Kids - prices per 100 kg live weight</v>
          </cell>
          <cell r="T122" t="str">
            <v>Kids - prices per 100 kg live weight</v>
          </cell>
          <cell r="U122" t="str">
            <v>Kids - prices per 100 kg live weight</v>
          </cell>
          <cell r="V122" t="str">
            <v>Kids - prices per 100 kg live weight</v>
          </cell>
          <cell r="W122" t="str">
            <v>Kids - prices per 100 kg live weight</v>
          </cell>
          <cell r="X122" t="str">
            <v>Kids - prices per 100 kg live weight</v>
          </cell>
        </row>
        <row r="123">
          <cell r="A123" t="str">
            <v>11420000</v>
          </cell>
          <cell r="B123">
            <v>4752</v>
          </cell>
          <cell r="C123" t="str">
            <v>u3</v>
          </cell>
          <cell r="D123" t="str">
            <v>g25</v>
          </cell>
          <cell r="E123" t="str">
            <v>Goats - prices per 100 kg live weight</v>
          </cell>
          <cell r="F123" t="str">
            <v>Goats - prices per 100 kg live weight</v>
          </cell>
          <cell r="G123" t="str">
            <v>Ziegen</v>
          </cell>
          <cell r="H123" t="str">
            <v>Goats - prices per 100 kg live weight</v>
          </cell>
          <cell r="I123" t="str">
            <v>Goats - prices per 100 kg live weight</v>
          </cell>
          <cell r="J123" t="str">
            <v>Goats - prices per 100 kg live weight</v>
          </cell>
          <cell r="K123" t="str">
            <v>Goats - prices per 100 kg live weight</v>
          </cell>
          <cell r="L123" t="str">
            <v>Goats - prices per 100 kg live weight</v>
          </cell>
          <cell r="M123" t="str">
            <v>Chèvres</v>
          </cell>
          <cell r="N123" t="str">
            <v>Goats - prices per 100 kg live weight</v>
          </cell>
          <cell r="O123" t="str">
            <v>Goats - prices per 100 kg live weight</v>
          </cell>
          <cell r="P123" t="str">
            <v>Goats - prices per 100 kg live weight</v>
          </cell>
          <cell r="Q123" t="str">
            <v>Goats - prices per 100 kg live weight</v>
          </cell>
          <cell r="R123" t="str">
            <v>Goats - prices per 100 kg live weight</v>
          </cell>
          <cell r="S123" t="str">
            <v>Goats - prices per 100 kg live weight</v>
          </cell>
          <cell r="T123" t="str">
            <v>Goats - prices per 100 kg live weight</v>
          </cell>
          <cell r="U123" t="str">
            <v>Goats - prices per 100 kg live weight</v>
          </cell>
          <cell r="V123" t="str">
            <v>Goats - prices per 100 kg live weight</v>
          </cell>
          <cell r="W123" t="str">
            <v>Goats - prices per 100 kg live weight</v>
          </cell>
          <cell r="X123" t="str">
            <v>Goats - prices per 100 kg live weight</v>
          </cell>
        </row>
        <row r="124">
          <cell r="A124" t="str">
            <v>11510000</v>
          </cell>
          <cell r="B124">
            <v>4821</v>
          </cell>
          <cell r="C124" t="str">
            <v>u3</v>
          </cell>
          <cell r="D124" t="str">
            <v>g7</v>
          </cell>
          <cell r="E124" t="str">
            <v>Chickens (live; 1st choice) - prices per 100 kg live weight</v>
          </cell>
          <cell r="F124" t="str">
            <v>Chickens (live; 1st choice) - prices per 100 kg live weight</v>
          </cell>
          <cell r="G124" t="str">
            <v>Jungmasthähnchen (lebend - 1. Wahl)</v>
          </cell>
          <cell r="H124" t="str">
            <v>Chickens (live; 1st choice) - prices per 100 kg live weight</v>
          </cell>
          <cell r="I124" t="str">
            <v>Chickens (live; 1st choice) - prices per 100 kg live weight</v>
          </cell>
          <cell r="J124" t="str">
            <v>Chickens (live; 1st choice) - prices per 100 kg live weight</v>
          </cell>
          <cell r="K124" t="str">
            <v>Chickens (live; 1st choice) - prices per 100 kg live weight</v>
          </cell>
          <cell r="L124" t="str">
            <v>Chickens (live; 1st choice) - prices per 100 kg live weight</v>
          </cell>
          <cell r="M124" t="str">
            <v>Poulets (vivants - 1er choix)</v>
          </cell>
          <cell r="N124" t="str">
            <v>Chickens (live; 1st choice) - prices per 100 kg live weight</v>
          </cell>
          <cell r="O124" t="str">
            <v>Chickens (live; 1st choice) - prices per 100 kg live weight</v>
          </cell>
          <cell r="P124" t="str">
            <v>Chickens (live; 1st choice) - prices per 100 kg live weight</v>
          </cell>
          <cell r="Q124" t="str">
            <v>Chickens (live; 1st choice) - prices per 100 kg live weight</v>
          </cell>
          <cell r="R124" t="str">
            <v>Chickens (live; 1st choice) - prices per 100 kg live weight</v>
          </cell>
          <cell r="S124" t="str">
            <v>Chickens (live; 1st choice) - prices per 100 kg live weight</v>
          </cell>
          <cell r="T124" t="str">
            <v>Chickens (live; 1st choice) - prices per 100 kg live weight</v>
          </cell>
          <cell r="U124" t="str">
            <v>Chickens (live; 1st choice) - prices per 100 kg live weight</v>
          </cell>
          <cell r="V124" t="str">
            <v>Chickens (live; 1st choice) - prices per 100 kg live weight</v>
          </cell>
          <cell r="W124" t="str">
            <v>Chickens (live; 1st choice) - prices per 100 kg live weight</v>
          </cell>
          <cell r="X124" t="str">
            <v>Chickens (live; 1st choice) - prices per 100 kg live weight</v>
          </cell>
        </row>
        <row r="125">
          <cell r="A125" t="str">
            <v>11511000</v>
          </cell>
          <cell r="B125">
            <v>4933</v>
          </cell>
          <cell r="C125" t="str">
            <v>u10</v>
          </cell>
          <cell r="D125" t="str">
            <v>g7</v>
          </cell>
          <cell r="E125" t="str">
            <v>Broiling fowl (slaughtered) - prices per 100 kg dead weight</v>
          </cell>
          <cell r="F125" t="str">
            <v>Broiling fowl (slaughtered) - prices per 100 kg dead weight</v>
          </cell>
          <cell r="G125" t="str">
            <v>Suppenhühner (geschlachtet)</v>
          </cell>
          <cell r="H125" t="str">
            <v>Broiling fowl (slaughtered) - prices per 100 kg dead weight</v>
          </cell>
          <cell r="I125" t="str">
            <v>Broiling fowl (slaughtered) - prices per 100 kg dead weight</v>
          </cell>
          <cell r="J125" t="str">
            <v>Broiling fowl (slaughtered) - prices per 100 kg dead weight</v>
          </cell>
          <cell r="K125" t="str">
            <v>Broiling fowl (slaughtered) - prices per 100 kg dead weight</v>
          </cell>
          <cell r="L125" t="str">
            <v>Broiling fowl (slaughtered) - prices per 100 kg dead weight</v>
          </cell>
          <cell r="M125" t="str">
            <v>Poules de réforme (abattues)</v>
          </cell>
          <cell r="N125" t="str">
            <v>Broiling fowl (slaughtered) - prices per 100 kg dead weight</v>
          </cell>
          <cell r="O125" t="str">
            <v>Broiling fowl (slaughtered) - prices per 100 kg dead weight</v>
          </cell>
          <cell r="P125" t="str">
            <v>Broiling fowl (slaughtered) - prices per 100 kg dead weight</v>
          </cell>
          <cell r="Q125" t="str">
            <v>Broiling fowl (slaughtered) - prices per 100 kg dead weight</v>
          </cell>
          <cell r="R125" t="str">
            <v>Broiling fowl (slaughtered) - prices per 100 kg dead weight</v>
          </cell>
          <cell r="S125" t="str">
            <v>Broiling fowl (slaughtered) - prices per 100 kg dead weight</v>
          </cell>
          <cell r="T125" t="str">
            <v>Broiling fowl (slaughtered) - prices per 100 kg dead weight</v>
          </cell>
          <cell r="U125" t="str">
            <v>Broiling fowl (slaughtered) - prices per 100 kg dead weight</v>
          </cell>
          <cell r="V125" t="str">
            <v>Broiling fowl (slaughtered) - prices per 100 kg dead weight</v>
          </cell>
          <cell r="W125" t="str">
            <v>Broiling fowl (slaughtered) - prices per 100 kg dead weight</v>
          </cell>
          <cell r="X125" t="str">
            <v>Broiling fowl (slaughtered) - prices per 100 kg dead weight</v>
          </cell>
        </row>
        <row r="126">
          <cell r="A126" t="str">
            <v>11591000</v>
          </cell>
          <cell r="B126">
            <v>4952</v>
          </cell>
          <cell r="C126" t="str">
            <v>u10</v>
          </cell>
          <cell r="D126" t="str">
            <v>g53</v>
          </cell>
          <cell r="E126" t="str">
            <v>Ducks (slaughtered) - prices per 100 kg dead weight</v>
          </cell>
          <cell r="F126" t="str">
            <v>Ducks (slaughtered) - prices per 100 kg dead weight</v>
          </cell>
          <cell r="G126" t="str">
            <v>Enten (geschlachtet)</v>
          </cell>
          <cell r="H126" t="str">
            <v>Ducks (slaughtered) - prices per 100 kg dead weight</v>
          </cell>
          <cell r="I126" t="str">
            <v>Ducks (slaughtered) - prices per 100 kg dead weight</v>
          </cell>
          <cell r="J126" t="str">
            <v>Ducks (slaughtered) - prices per 100 kg dead weight</v>
          </cell>
          <cell r="K126" t="str">
            <v>Ducks (slaughtered) - prices per 100 kg dead weight</v>
          </cell>
          <cell r="L126" t="str">
            <v>Ducks (slaughtered) - prices per 100 kg dead weight</v>
          </cell>
          <cell r="M126" t="str">
            <v>Canards (abattus)</v>
          </cell>
          <cell r="N126" t="str">
            <v>Ducks (slaughtered) - prices per 100 kg dead weight</v>
          </cell>
          <cell r="O126" t="str">
            <v>Ducks (slaughtered) - prices per 100 kg dead weight</v>
          </cell>
          <cell r="P126" t="str">
            <v>Ducks (slaughtered) - prices per 100 kg dead weight</v>
          </cell>
          <cell r="Q126" t="str">
            <v>Ducks (slaughtered) - prices per 100 kg dead weight</v>
          </cell>
          <cell r="R126" t="str">
            <v>Ducks (slaughtered) - prices per 100 kg dead weight</v>
          </cell>
          <cell r="S126" t="str">
            <v>Ducks (slaughtered) - prices per 100 kg dead weight</v>
          </cell>
          <cell r="T126" t="str">
            <v>Ducks (slaughtered) - prices per 100 kg dead weight</v>
          </cell>
          <cell r="U126" t="str">
            <v>Ducks (slaughtered) - prices per 100 kg dead weight</v>
          </cell>
          <cell r="V126" t="str">
            <v>Ducks (slaughtered) - prices per 100 kg dead weight</v>
          </cell>
          <cell r="W126" t="str">
            <v>Ducks (slaughtered) - prices per 100 kg dead weight</v>
          </cell>
          <cell r="X126" t="str">
            <v>Ducks (slaughtered) - prices per 100 kg dead weight</v>
          </cell>
        </row>
        <row r="127">
          <cell r="A127" t="str">
            <v>11592000</v>
          </cell>
          <cell r="C127" t="str">
            <v>u10</v>
          </cell>
          <cell r="D127" t="str">
            <v>g53</v>
          </cell>
          <cell r="E127" t="str">
            <v>Turkey (slaughtered) - prices per 100 kg by carcase weight</v>
          </cell>
          <cell r="F127" t="str">
            <v>Turkey (slaughtered) - prices per 100 kg by carcase weight</v>
          </cell>
          <cell r="G127" t="str">
            <v>Truthenne (geschlachtet)</v>
          </cell>
          <cell r="H127" t="str">
            <v>Turkey (slaughtered) - prices per 100 kg by carcase weight</v>
          </cell>
          <cell r="I127" t="str">
            <v>Turkey (slaughtered) - prices per 100 kg by carcase weight</v>
          </cell>
          <cell r="J127" t="str">
            <v>Turkey (slaughtered) - prices per 100 kg by carcase weight</v>
          </cell>
          <cell r="K127" t="str">
            <v>Turkey (slaughtered) - prices per 100 kg by carcase weight</v>
          </cell>
          <cell r="L127" t="str">
            <v>Turkey (slaughtered) - prices per 100 kg by carcase weight</v>
          </cell>
          <cell r="M127" t="str">
            <v>Dindes (abattues)</v>
          </cell>
          <cell r="N127" t="str">
            <v>Turkey (slaughtered) - prices per 100 kg by carcase weight</v>
          </cell>
          <cell r="O127" t="str">
            <v>Turkey (slaughtered) - prices per 100 kg by carcase weight</v>
          </cell>
          <cell r="P127" t="str">
            <v>Turkey (slaughtered) - prices per 100 kg by carcase weight</v>
          </cell>
          <cell r="Q127" t="str">
            <v>Turkey (slaughtered) - prices per 100 kg by carcase weight</v>
          </cell>
          <cell r="R127" t="str">
            <v>Turkey (slaughtered) - prices per 100 kg by carcase weight</v>
          </cell>
          <cell r="S127" t="str">
            <v>Turkey (slaughtered) - prices per 100 kg by carcase weight</v>
          </cell>
          <cell r="T127" t="str">
            <v>Turkey (slaughtered) - prices per 100 kg by carcase weight</v>
          </cell>
          <cell r="U127" t="str">
            <v>Turkey (slaughtered) - prices per 100 kg by carcase weight</v>
          </cell>
          <cell r="V127" t="str">
            <v>Turkey (slaughtered) - prices per 100 kg by carcase weight</v>
          </cell>
          <cell r="W127" t="str">
            <v>Turkey (slaughtered) - prices per 100 kg by carcase weight</v>
          </cell>
          <cell r="X127" t="str">
            <v>Turkey (slaughtered) - prices per 100 kg by carcase weight</v>
          </cell>
        </row>
        <row r="128">
          <cell r="A128" t="str">
            <v>11593000</v>
          </cell>
          <cell r="C128" t="str">
            <v>u10</v>
          </cell>
          <cell r="D128" t="str">
            <v>g53</v>
          </cell>
          <cell r="E128" t="str">
            <v>Geese (slaughtered )- prices per 100 kg by carcase weight</v>
          </cell>
          <cell r="F128" t="str">
            <v>Geese (slaughtered )- prices per 100 kg by carcase weight</v>
          </cell>
          <cell r="G128" t="str">
            <v>Gänse (geschlachtet)</v>
          </cell>
          <cell r="H128" t="str">
            <v>Geese (slaughtered )- prices per 100 kg by carcase weight</v>
          </cell>
          <cell r="I128" t="str">
            <v>Geese (slaughtered )- prices per 100 kg by carcase weight</v>
          </cell>
          <cell r="J128" t="str">
            <v>Geese (slaughtered )- prices per 100 kg by carcase weight</v>
          </cell>
          <cell r="K128" t="str">
            <v>Geese (slaughtered )- prices per 100 kg by carcase weight</v>
          </cell>
          <cell r="L128" t="str">
            <v>Geese (slaughtered )- prices per 100 kg by carcase weight</v>
          </cell>
          <cell r="M128" t="str">
            <v>Oies (abattues)</v>
          </cell>
          <cell r="N128" t="str">
            <v>Geese (slaughtered )- prices per 100 kg by carcase weight</v>
          </cell>
          <cell r="O128" t="str">
            <v>Geese (slaughtered )- prices per 100 kg by carcase weight</v>
          </cell>
          <cell r="P128" t="str">
            <v>Geese (slaughtered )- prices per 100 kg by carcase weight</v>
          </cell>
          <cell r="Q128" t="str">
            <v>Geese (slaughtered )- prices per 100 kg by carcase weight</v>
          </cell>
          <cell r="R128" t="str">
            <v>Geese (slaughtered )- prices per 100 kg by carcase weight</v>
          </cell>
          <cell r="S128" t="str">
            <v>Geese (slaughtered )- prices per 100 kg by carcase weight</v>
          </cell>
          <cell r="T128" t="str">
            <v>Geese (slaughtered )- prices per 100 kg by carcase weight</v>
          </cell>
          <cell r="U128" t="str">
            <v>Geese (slaughtered )- prices per 100 kg by carcase weight</v>
          </cell>
          <cell r="V128" t="str">
            <v>Geese (slaughtered )- prices per 100 kg by carcase weight</v>
          </cell>
          <cell r="W128" t="str">
            <v>Geese (slaughtered )- prices per 100 kg by carcase weight</v>
          </cell>
          <cell r="X128" t="str">
            <v>Geese (slaughtered )- prices per 100 kg by carcase weight</v>
          </cell>
        </row>
        <row r="129">
          <cell r="A129" t="str">
            <v>11910000</v>
          </cell>
          <cell r="B129">
            <v>5021</v>
          </cell>
          <cell r="C129" t="str">
            <v>u3</v>
          </cell>
          <cell r="D129" t="str">
            <v>g40</v>
          </cell>
          <cell r="E129" t="str">
            <v>Rabbits - prices per 100 kg live weight</v>
          </cell>
          <cell r="F129" t="str">
            <v>Rabbits - prices per 100 kg live weight</v>
          </cell>
          <cell r="G129" t="str">
            <v>Kaninchen</v>
          </cell>
          <cell r="H129" t="str">
            <v>Rabbits - prices per 100 kg live weight</v>
          </cell>
          <cell r="I129" t="str">
            <v>Rabbits - prices per 100 kg live weight</v>
          </cell>
          <cell r="J129" t="str">
            <v>Rabbits - prices per 100 kg live weight</v>
          </cell>
          <cell r="K129" t="str">
            <v>Rabbits - prices per 100 kg live weight</v>
          </cell>
          <cell r="L129" t="str">
            <v>Rabbits - prices per 100 kg live weight</v>
          </cell>
          <cell r="M129" t="str">
            <v>Lapins</v>
          </cell>
          <cell r="N129" t="str">
            <v>Rabbits - prices per 100 kg live weight</v>
          </cell>
          <cell r="O129" t="str">
            <v>Rabbits - prices per 100 kg live weight</v>
          </cell>
          <cell r="P129" t="str">
            <v>Rabbits - prices per 100 kg live weight</v>
          </cell>
          <cell r="Q129" t="str">
            <v>Rabbits - prices per 100 kg live weight</v>
          </cell>
          <cell r="R129" t="str">
            <v>Rabbits - prices per 100 kg live weight</v>
          </cell>
          <cell r="S129" t="str">
            <v>Rabbits - prices per 100 kg live weight</v>
          </cell>
          <cell r="T129" t="str">
            <v>Rabbits - prices per 100 kg live weight</v>
          </cell>
          <cell r="U129" t="str">
            <v>Rabbits - prices per 100 kg live weight</v>
          </cell>
          <cell r="V129" t="str">
            <v>Rabbits - prices per 100 kg live weight</v>
          </cell>
          <cell r="W129" t="str">
            <v>Rabbits - prices per 100 kg live weight</v>
          </cell>
          <cell r="X129" t="str">
            <v>Rabbits - prices per 100 kg live weight</v>
          </cell>
        </row>
        <row r="130">
          <cell r="A130" t="str">
            <v>12111000</v>
          </cell>
          <cell r="B130">
            <v>5180</v>
          </cell>
          <cell r="C130" t="str">
            <v>u2</v>
          </cell>
          <cell r="D130" t="str">
            <v>g16</v>
          </cell>
          <cell r="E130" t="str">
            <v>Raw cows' milk; 3.7% fat content - prices per 100 kg</v>
          </cell>
          <cell r="F130" t="str">
            <v>Raw cows' milk; 3.7% fat content - prices per 100 kg</v>
          </cell>
          <cell r="G130" t="str">
            <v>Kuh-Rohmilch - 3.7 % Fettgehalt</v>
          </cell>
          <cell r="H130" t="str">
            <v>Raw cows' milk; 3.7% fat content - prices per 100 kg</v>
          </cell>
          <cell r="I130" t="str">
            <v>Raw cows' milk; 3.7% fat content - prices per 100 kg</v>
          </cell>
          <cell r="J130" t="str">
            <v>Raw cows' milk; 3.7% fat content - prices per 100 kg</v>
          </cell>
          <cell r="K130" t="str">
            <v>Raw cows' milk; 3.7% fat content - prices per 100 kg</v>
          </cell>
          <cell r="L130" t="str">
            <v>Raw cows' milk; 3.7% fat content - prices per 100 kg</v>
          </cell>
          <cell r="M130" t="str">
            <v>Lait cru de vache - 3.7 % de matières grasses</v>
          </cell>
          <cell r="N130" t="str">
            <v>Raw cows' milk; 3.7% fat content - prices per 100 kg</v>
          </cell>
          <cell r="O130" t="str">
            <v>Raw cows' milk; 3.7% fat content - prices per 100 kg</v>
          </cell>
          <cell r="P130" t="str">
            <v>Raw cows' milk; 3.7% fat content - prices per 100 kg</v>
          </cell>
          <cell r="Q130" t="str">
            <v>Raw cows' milk; 3.7% fat content - prices per 100 kg</v>
          </cell>
          <cell r="R130" t="str">
            <v>Raw cows' milk; 3.7% fat content - prices per 100 kg</v>
          </cell>
          <cell r="S130" t="str">
            <v>Raw cows' milk; 3.7% fat content - prices per 100 kg</v>
          </cell>
          <cell r="T130" t="str">
            <v>Raw cows' milk; 3.7% fat content - prices per 100 kg</v>
          </cell>
          <cell r="U130" t="str">
            <v>Raw cows' milk; 3.7% fat content - prices per 100 kg</v>
          </cell>
          <cell r="V130" t="str">
            <v>Raw cows' milk; 3.7% fat content - prices per 100 kg</v>
          </cell>
          <cell r="W130" t="str">
            <v>Raw cows' milk; 3.7% fat content - prices per 100 kg</v>
          </cell>
          <cell r="X130" t="str">
            <v>Raw cows' milk; 3.7% fat content - prices per 100 kg</v>
          </cell>
        </row>
        <row r="131">
          <cell r="A131" t="str">
            <v>12112000</v>
          </cell>
          <cell r="B131">
            <v>5185</v>
          </cell>
          <cell r="C131" t="str">
            <v>u2</v>
          </cell>
          <cell r="D131" t="str">
            <v>g16</v>
          </cell>
          <cell r="E131" t="str">
            <v>Raw cows' milk; actual fat content - prices per 100 kg</v>
          </cell>
          <cell r="F131" t="str">
            <v>Raw cows' milk; actual fat content - prices per 100 kg</v>
          </cell>
          <cell r="G131" t="str">
            <v>Kuh-Rohmilch - realer Fettgehalt</v>
          </cell>
          <cell r="H131" t="str">
            <v>Raw cows' milk; actual fat content - prices per 100 kg</v>
          </cell>
          <cell r="I131" t="str">
            <v>Raw cows' milk; actual fat content - prices per 100 kg</v>
          </cell>
          <cell r="J131" t="str">
            <v>Raw cows' milk; actual fat content - prices per 100 kg</v>
          </cell>
          <cell r="K131" t="str">
            <v>Raw cows' milk; actual fat content - prices per 100 kg</v>
          </cell>
          <cell r="L131" t="str">
            <v>Raw cows' milk; actual fat content - prices per 100 kg</v>
          </cell>
          <cell r="M131" t="str">
            <v>Lait cru de vache - teneur réelle en matières grasses</v>
          </cell>
          <cell r="N131" t="str">
            <v>Raw cows' milk; actual fat content - prices per 100 kg</v>
          </cell>
          <cell r="O131" t="str">
            <v>Raw cows' milk; actual fat content - prices per 100 kg</v>
          </cell>
          <cell r="P131" t="str">
            <v>Raw cows' milk; actual fat content - prices per 100 kg</v>
          </cell>
          <cell r="Q131" t="str">
            <v>Raw cows' milk; actual fat content - prices per 100 kg</v>
          </cell>
          <cell r="R131" t="str">
            <v>Raw cows' milk; actual fat content - prices per 100 kg</v>
          </cell>
          <cell r="S131" t="str">
            <v>Raw cows' milk; actual fat content - prices per 100 kg</v>
          </cell>
          <cell r="T131" t="str">
            <v>Raw cows' milk; actual fat content - prices per 100 kg</v>
          </cell>
          <cell r="U131" t="str">
            <v>Raw cows' milk; actual fat content - prices per 100 kg</v>
          </cell>
          <cell r="V131" t="str">
            <v>Raw cows' milk; actual fat content - prices per 100 kg</v>
          </cell>
          <cell r="W131" t="str">
            <v>Raw cows' milk; actual fat content - prices per 100 kg</v>
          </cell>
          <cell r="X131" t="str">
            <v>Raw cows' milk; actual fat content - prices per 100 kg</v>
          </cell>
        </row>
        <row r="132">
          <cell r="A132" t="str">
            <v>12191000</v>
          </cell>
          <cell r="B132">
            <v>5411</v>
          </cell>
          <cell r="C132" t="str">
            <v>u7</v>
          </cell>
          <cell r="D132" t="str">
            <v>g16</v>
          </cell>
          <cell r="E132" t="str">
            <v>Raw sheep milk - prices per 100 kg</v>
          </cell>
          <cell r="F132" t="str">
            <v>Raw sheep milk - prices per 100 kg</v>
          </cell>
          <cell r="G132" t="str">
            <v>Schafs-Rohmilch</v>
          </cell>
          <cell r="H132" t="str">
            <v>Raw sheep milk - prices per 100 kg</v>
          </cell>
          <cell r="I132" t="str">
            <v>Raw sheep milk - prices per 100 kg</v>
          </cell>
          <cell r="J132" t="str">
            <v>Raw sheep milk - prices per 100 kg</v>
          </cell>
          <cell r="K132" t="str">
            <v>Raw sheep milk - prices per 100 kg</v>
          </cell>
          <cell r="L132" t="str">
            <v>Raw sheep milk - prices per 100 kg</v>
          </cell>
          <cell r="M132" t="str">
            <v>Lait cru de brebis</v>
          </cell>
          <cell r="N132" t="str">
            <v>Raw sheep milk - prices per 100 kg</v>
          </cell>
          <cell r="O132" t="str">
            <v>Raw sheep milk - prices per 100 kg</v>
          </cell>
          <cell r="P132" t="str">
            <v>Raw sheep milk - prices per 100 kg</v>
          </cell>
          <cell r="Q132" t="str">
            <v>Raw sheep milk - prices per 100 kg</v>
          </cell>
          <cell r="R132" t="str">
            <v>Raw sheep milk - prices per 100 kg</v>
          </cell>
          <cell r="S132" t="str">
            <v>Raw sheep milk - prices per 100 kg</v>
          </cell>
          <cell r="T132" t="str">
            <v>Raw sheep milk - prices per 100 kg</v>
          </cell>
          <cell r="U132" t="str">
            <v>Raw sheep milk - prices per 100 kg</v>
          </cell>
          <cell r="V132" t="str">
            <v>Raw sheep milk - prices per 100 kg</v>
          </cell>
          <cell r="W132" t="str">
            <v>Raw sheep milk - prices per 100 kg</v>
          </cell>
          <cell r="X132" t="str">
            <v>Raw sheep milk - prices per 100 kg</v>
          </cell>
        </row>
        <row r="133">
          <cell r="A133" t="str">
            <v>12192000</v>
          </cell>
          <cell r="B133">
            <v>5191</v>
          </cell>
          <cell r="C133" t="str">
            <v>u2</v>
          </cell>
          <cell r="D133" t="str">
            <v>g51</v>
          </cell>
          <cell r="E133" t="str">
            <v>Raw goats' milk - prices per 100 kg</v>
          </cell>
          <cell r="F133" t="str">
            <v>Raw goats' milk - prices per 100 kg</v>
          </cell>
          <cell r="G133" t="str">
            <v>Ziegen-Rohmilch</v>
          </cell>
          <cell r="H133" t="str">
            <v>Raw goats' milk - prices per 100 kg</v>
          </cell>
          <cell r="I133" t="str">
            <v>Raw goats' milk - prices per 100 kg</v>
          </cell>
          <cell r="J133" t="str">
            <v>Raw goats' milk - prices per 100 kg</v>
          </cell>
          <cell r="K133" t="str">
            <v>Raw goats' milk - prices per 100 kg</v>
          </cell>
          <cell r="L133" t="str">
            <v>Raw goats' milk - prices per 100 kg</v>
          </cell>
          <cell r="M133" t="str">
            <v>Lait cru de chèvre</v>
          </cell>
          <cell r="N133" t="str">
            <v>Raw goats' milk - prices per 100 kg</v>
          </cell>
          <cell r="O133" t="str">
            <v>Raw goats' milk - prices per 100 kg</v>
          </cell>
          <cell r="P133" t="str">
            <v>Raw goats' milk - prices per 100 kg</v>
          </cell>
          <cell r="Q133" t="str">
            <v>Raw goats' milk - prices per 100 kg</v>
          </cell>
          <cell r="R133" t="str">
            <v>Raw goats' milk - prices per 100 kg</v>
          </cell>
          <cell r="S133" t="str">
            <v>Raw goats' milk - prices per 100 kg</v>
          </cell>
          <cell r="T133" t="str">
            <v>Raw goats' milk - prices per 100 kg</v>
          </cell>
          <cell r="U133" t="str">
            <v>Raw goats' milk - prices per 100 kg</v>
          </cell>
          <cell r="V133" t="str">
            <v>Raw goats' milk - prices per 100 kg</v>
          </cell>
          <cell r="W133" t="str">
            <v>Raw goats' milk - prices per 100 kg</v>
          </cell>
          <cell r="X133" t="str">
            <v>Raw goats' milk - prices per 100 kg</v>
          </cell>
        </row>
        <row r="134">
          <cell r="A134" t="str">
            <v>12200000</v>
          </cell>
          <cell r="B134">
            <v>5192</v>
          </cell>
          <cell r="C134" t="str">
            <v>u2</v>
          </cell>
          <cell r="D134" t="str">
            <v>g51</v>
          </cell>
          <cell r="E134" t="str">
            <v>Fresh eggs (whole country) - prices per 100 items</v>
          </cell>
          <cell r="F134" t="str">
            <v>Fresh eggs (whole country) - prices per 100 items</v>
          </cell>
          <cell r="G134" t="str">
            <v>Frische Eier (gesamtes Land)</v>
          </cell>
          <cell r="H134" t="str">
            <v>Fresh eggs (whole country) - prices per 100 items</v>
          </cell>
          <cell r="I134" t="str">
            <v>Fresh eggs (whole country) - prices per 100 items</v>
          </cell>
          <cell r="J134" t="str">
            <v>Fresh eggs (whole country) - prices per 100 items</v>
          </cell>
          <cell r="K134" t="str">
            <v>Fresh eggs (whole country) - prices per 100 items</v>
          </cell>
          <cell r="L134" t="str">
            <v>Fresh eggs (whole country) - prices per 100 items</v>
          </cell>
          <cell r="M134" t="str">
            <v>Oeufs frais (ensemble pays)</v>
          </cell>
          <cell r="N134" t="str">
            <v>Fresh eggs (whole country) - prices per 100 items</v>
          </cell>
          <cell r="O134" t="str">
            <v>Fresh eggs (whole country) - prices per 100 items</v>
          </cell>
          <cell r="P134" t="str">
            <v>Fresh eggs (whole country) - prices per 100 items</v>
          </cell>
          <cell r="Q134" t="str">
            <v>Fresh eggs (whole country) - prices per 100 items</v>
          </cell>
          <cell r="R134" t="str">
            <v>Fresh eggs (whole country) - prices per 100 items</v>
          </cell>
          <cell r="S134" t="str">
            <v>Fresh eggs (whole country) - prices per 100 items</v>
          </cell>
          <cell r="T134" t="str">
            <v>Fresh eggs (whole country) - prices per 100 items</v>
          </cell>
          <cell r="U134" t="str">
            <v>Fresh eggs (whole country) - prices per 100 items</v>
          </cell>
          <cell r="V134" t="str">
            <v>Fresh eggs (whole country) - prices per 100 items</v>
          </cell>
          <cell r="W134" t="str">
            <v>Fresh eggs (whole country) - prices per 100 items</v>
          </cell>
          <cell r="X134" t="str">
            <v>Fresh eggs (whole country) - prices per 100 items</v>
          </cell>
        </row>
        <row r="135">
          <cell r="A135" t="str">
            <v>12113000</v>
          </cell>
          <cell r="B135">
            <v>5315</v>
          </cell>
          <cell r="C135" t="str">
            <v>u1</v>
          </cell>
          <cell r="D135" t="str">
            <v>g17</v>
          </cell>
          <cell r="E135" t="str">
            <v>Whole cows' milk for human consumption - prices per 100 litres</v>
          </cell>
          <cell r="F135" t="str">
            <v>Whole cows' milk for human consumption - prices per 100 litres</v>
          </cell>
          <cell r="G135" t="str">
            <v>Kuh-Vollmilch für den menschlichen Verbrauch</v>
          </cell>
          <cell r="H135" t="str">
            <v>Whole cows' milk for human consumption - prices per 100 litres</v>
          </cell>
          <cell r="I135" t="str">
            <v>Whole cows' milk for human consumption - prices per 100 litres</v>
          </cell>
          <cell r="J135" t="str">
            <v>Whole cows' milk for human consumption - prices per 100 litres</v>
          </cell>
          <cell r="K135" t="str">
            <v>Whole cows' milk for human consumption - prices per 100 litres</v>
          </cell>
          <cell r="L135" t="str">
            <v>Whole cows' milk for human consumption - prices per 100 litres</v>
          </cell>
          <cell r="M135" t="str">
            <v>Lait de vache entier de consommation</v>
          </cell>
          <cell r="N135" t="str">
            <v>Whole cows' milk for human consumption - prices per 100 litres</v>
          </cell>
          <cell r="O135" t="str">
            <v>Whole cows' milk for human consumption - prices per 100 litres</v>
          </cell>
          <cell r="P135" t="str">
            <v>Whole cows' milk for human consumption - prices per 100 litres</v>
          </cell>
          <cell r="Q135" t="str">
            <v>Whole cows' milk for human consumption - prices per 100 litres</v>
          </cell>
          <cell r="R135" t="str">
            <v>Whole cows' milk for human consumption - prices per 100 litres</v>
          </cell>
          <cell r="S135" t="str">
            <v>Whole cows' milk for human consumption - prices per 100 litres</v>
          </cell>
          <cell r="T135" t="str">
            <v>Whole cows' milk for human consumption - prices per 100 litres</v>
          </cell>
          <cell r="U135" t="str">
            <v>Whole cows' milk for human consumption - prices per 100 litres</v>
          </cell>
          <cell r="V135" t="str">
            <v>Whole cows' milk for human consumption - prices per 100 litres</v>
          </cell>
          <cell r="W135" t="str">
            <v>Whole cows' milk for human consumption - prices per 100 litres</v>
          </cell>
          <cell r="X135" t="str">
            <v>Whole cows' milk for human consumption - prices per 100 litres</v>
          </cell>
        </row>
        <row r="136">
          <cell r="A136" t="str">
            <v>12910000</v>
          </cell>
          <cell r="B136">
            <v>5610</v>
          </cell>
          <cell r="C136" t="str">
            <v>u2</v>
          </cell>
          <cell r="D136" t="str">
            <v>g39</v>
          </cell>
          <cell r="E136" t="str">
            <v>Raw wool - prices per 100 kg</v>
          </cell>
          <cell r="F136" t="str">
            <v>Raw wool - prices per 100 kg</v>
          </cell>
          <cell r="G136" t="str">
            <v>Rohwolle</v>
          </cell>
          <cell r="H136" t="str">
            <v>Raw wool - prices per 100 kg</v>
          </cell>
          <cell r="I136" t="str">
            <v>Raw wool - prices per 100 kg</v>
          </cell>
          <cell r="J136" t="str">
            <v>Raw wool - prices per 100 kg</v>
          </cell>
          <cell r="K136" t="str">
            <v>Raw wool - prices per 100 kg</v>
          </cell>
          <cell r="L136" t="str">
            <v>Raw wool - prices per 100 kg</v>
          </cell>
          <cell r="M136" t="str">
            <v>Laine brute</v>
          </cell>
          <cell r="N136" t="str">
            <v>Raw wool - prices per 100 kg</v>
          </cell>
          <cell r="O136" t="str">
            <v>Raw wool - prices per 100 kg</v>
          </cell>
          <cell r="P136" t="str">
            <v>Raw wool - prices per 100 kg</v>
          </cell>
          <cell r="Q136" t="str">
            <v>Raw wool - prices per 100 kg</v>
          </cell>
          <cell r="R136" t="str">
            <v>Raw wool - prices per 100 kg</v>
          </cell>
          <cell r="S136" t="str">
            <v>Raw wool - prices per 100 kg</v>
          </cell>
          <cell r="T136" t="str">
            <v>Raw wool - prices per 100 kg</v>
          </cell>
          <cell r="U136" t="str">
            <v>Raw wool - prices per 100 kg</v>
          </cell>
          <cell r="V136" t="str">
            <v>Raw wool - prices per 100 kg</v>
          </cell>
          <cell r="W136" t="str">
            <v>Raw wool - prices per 100 kg</v>
          </cell>
          <cell r="X136" t="str">
            <v>Raw wool - prices per 100 kg</v>
          </cell>
        </row>
        <row r="137">
          <cell r="A137" t="str">
            <v>12920000</v>
          </cell>
          <cell r="B137">
            <v>5630</v>
          </cell>
          <cell r="C137" t="str">
            <v>u2</v>
          </cell>
          <cell r="D137" t="str">
            <v>g39</v>
          </cell>
          <cell r="E137" t="str">
            <v>Honey - prices per 100 kg</v>
          </cell>
          <cell r="F137" t="str">
            <v>Honey - prices per 100 kg</v>
          </cell>
          <cell r="G137" t="str">
            <v>Honig</v>
          </cell>
          <cell r="H137" t="str">
            <v>Honey - prices per 100 kg</v>
          </cell>
          <cell r="I137" t="str">
            <v>Honey - prices per 100 kg</v>
          </cell>
          <cell r="J137" t="str">
            <v>Honey - prices per 100 kg</v>
          </cell>
          <cell r="K137" t="str">
            <v>Honey - prices per 100 kg</v>
          </cell>
          <cell r="L137" t="str">
            <v>Honey - prices per 100 kg</v>
          </cell>
          <cell r="M137" t="str">
            <v>Miel</v>
          </cell>
          <cell r="N137" t="str">
            <v>Honey - prices per 100 kg</v>
          </cell>
          <cell r="O137" t="str">
            <v>Honey - prices per 100 kg</v>
          </cell>
          <cell r="P137" t="str">
            <v>Honey - prices per 100 kg</v>
          </cell>
          <cell r="Q137" t="str">
            <v>Honey - prices per 100 kg</v>
          </cell>
          <cell r="R137" t="str">
            <v>Honey - prices per 100 kg</v>
          </cell>
          <cell r="S137" t="str">
            <v>Honey - prices per 100 kg</v>
          </cell>
          <cell r="T137" t="str">
            <v>Honey - prices per 100 kg</v>
          </cell>
          <cell r="U137" t="str">
            <v>Honey - prices per 100 kg</v>
          </cell>
          <cell r="V137" t="str">
            <v>Honey - prices per 100 kg</v>
          </cell>
          <cell r="W137" t="str">
            <v>Honey - prices per 100 kg</v>
          </cell>
          <cell r="X137" t="str">
            <v>Honey - prices per 100 kg</v>
          </cell>
        </row>
        <row r="138">
          <cell r="A138">
            <v>20210000</v>
          </cell>
          <cell r="C138" t="str">
            <v>u6</v>
          </cell>
          <cell r="D138" t="str">
            <v>g18</v>
          </cell>
          <cell r="E138" t="str">
            <v>Electicity - prices per 100 kwh</v>
          </cell>
          <cell r="F138" t="str">
            <v>Electicity - prices per 100 kwh</v>
          </cell>
          <cell r="G138" t="str">
            <v>Strom, Elektrizität</v>
          </cell>
          <cell r="H138" t="str">
            <v>Electicity - prices per 100 kwh</v>
          </cell>
          <cell r="I138" t="str">
            <v>Electicity - prices per 100 kwh</v>
          </cell>
          <cell r="J138" t="str">
            <v>Electicity - prices per 100 kwh</v>
          </cell>
          <cell r="K138" t="str">
            <v>Electicity - prices per 100 kwh</v>
          </cell>
          <cell r="L138" t="str">
            <v>Electicity - prices per 100 kwh</v>
          </cell>
          <cell r="M138" t="str">
            <v>Electricité</v>
          </cell>
          <cell r="N138" t="str">
            <v>Electicity - prices per 100 kwh</v>
          </cell>
          <cell r="O138" t="str">
            <v>Electicity - prices per 100 kwh</v>
          </cell>
          <cell r="P138" t="str">
            <v>Electicity - prices per 100 kwh</v>
          </cell>
          <cell r="Q138" t="str">
            <v>Electicity - prices per 100 kwh</v>
          </cell>
          <cell r="R138" t="str">
            <v>Electicity - prices per 100 kwh</v>
          </cell>
          <cell r="S138" t="str">
            <v>Electicity - prices per 100 kwh</v>
          </cell>
          <cell r="T138" t="str">
            <v>Electicity - prices per 100 kwh</v>
          </cell>
          <cell r="U138" t="str">
            <v>Electicity - prices per 100 kwh</v>
          </cell>
          <cell r="V138" t="str">
            <v>Electicity - prices per 100 kwh</v>
          </cell>
          <cell r="W138" t="str">
            <v>Electicity - prices per 100 kwh</v>
          </cell>
          <cell r="X138" t="str">
            <v>Electicity - prices per 100 kwh</v>
          </cell>
        </row>
        <row r="139">
          <cell r="A139">
            <v>20221000</v>
          </cell>
          <cell r="B139">
            <v>7523</v>
          </cell>
          <cell r="C139" t="str">
            <v>u7</v>
          </cell>
          <cell r="D139" t="str">
            <v>g24</v>
          </cell>
          <cell r="E139" t="str">
            <v>Heating gas oil - prices per 100 litres</v>
          </cell>
          <cell r="F139" t="str">
            <v>Heating gas oil - prices per 100 litres</v>
          </cell>
          <cell r="G139" t="str">
            <v>Destillat-Heizöl</v>
          </cell>
          <cell r="H139" t="str">
            <v>Heating gas oil - prices per 100 litres</v>
          </cell>
          <cell r="I139" t="str">
            <v>Heating gas oil - prices per 100 litres</v>
          </cell>
          <cell r="J139" t="str">
            <v>Heating gas oil - prices per 100 litres</v>
          </cell>
          <cell r="K139" t="str">
            <v>Heating gas oil - prices per 100 litres</v>
          </cell>
          <cell r="L139" t="str">
            <v>Heating gas oil - prices per 100 litres</v>
          </cell>
          <cell r="M139" t="str">
            <v>Fuel-oil fluide</v>
          </cell>
          <cell r="N139" t="str">
            <v>Heating gas oil - prices per 100 litres</v>
          </cell>
          <cell r="O139" t="str">
            <v>Heating gas oil - prices per 100 litres</v>
          </cell>
          <cell r="P139" t="str">
            <v>Heating gas oil - prices per 100 litres</v>
          </cell>
          <cell r="Q139" t="str">
            <v>Heating gas oil - prices per 100 litres</v>
          </cell>
          <cell r="R139" t="str">
            <v>Heating gas oil - prices per 100 litres</v>
          </cell>
          <cell r="S139" t="str">
            <v>Heating gas oil - prices per 100 litres</v>
          </cell>
          <cell r="T139" t="str">
            <v>Heating gas oil - prices per 100 litres</v>
          </cell>
          <cell r="U139" t="str">
            <v>Heating gas oil - prices per 100 litres</v>
          </cell>
          <cell r="V139" t="str">
            <v>Heating gas oil - prices per 100 litres</v>
          </cell>
          <cell r="W139" t="str">
            <v>Heating gas oil - prices per 100 litres</v>
          </cell>
          <cell r="X139" t="str">
            <v>Heating gas oil - prices per 100 litres</v>
          </cell>
        </row>
        <row r="140">
          <cell r="A140">
            <v>20222000</v>
          </cell>
          <cell r="B140">
            <v>7526</v>
          </cell>
          <cell r="C140" t="str">
            <v>u2</v>
          </cell>
          <cell r="D140" t="str">
            <v>g24</v>
          </cell>
          <cell r="E140" t="str">
            <v>Residual fuel oil (prices/100 kg) - prices per 100 kg</v>
          </cell>
          <cell r="F140" t="str">
            <v>Residual fuel oil (prices/100 kg) - prices per 100 kg</v>
          </cell>
          <cell r="G140" t="str">
            <v>Rückstands-Heizöl</v>
          </cell>
          <cell r="H140" t="str">
            <v>Residual fuel oil (prices/100 kg) - prices per 100 kg</v>
          </cell>
          <cell r="I140" t="str">
            <v>Residual fuel oil (prices/100 kg) - prices per 100 kg</v>
          </cell>
          <cell r="J140" t="str">
            <v>Residual fuel oil (prices/100 kg) - prices per 100 kg</v>
          </cell>
          <cell r="K140" t="str">
            <v>Residual fuel oil (prices/100 kg) - prices per 100 kg</v>
          </cell>
          <cell r="L140" t="str">
            <v>Residual fuel oil (prices/100 kg) - prices per 100 kg</v>
          </cell>
          <cell r="M140" t="str">
            <v>Fuel-oil résiduel</v>
          </cell>
          <cell r="N140" t="str">
            <v>Residual fuel oil (prices/100 kg) - prices per 100 kg</v>
          </cell>
          <cell r="O140" t="str">
            <v>Residual fuel oil (prices/100 kg) - prices per 100 kg</v>
          </cell>
          <cell r="P140" t="str">
            <v>Residual fuel oil (prices/100 kg) - prices per 100 kg</v>
          </cell>
          <cell r="Q140" t="str">
            <v>Residual fuel oil (prices/100 kg) - prices per 100 kg</v>
          </cell>
          <cell r="R140" t="str">
            <v>Residual fuel oil (prices/100 kg) - prices per 100 kg</v>
          </cell>
          <cell r="S140" t="str">
            <v>Residual fuel oil (prices/100 kg) - prices per 100 kg</v>
          </cell>
          <cell r="T140" t="str">
            <v>Residual fuel oil (prices/100 kg) - prices per 100 kg</v>
          </cell>
          <cell r="U140" t="str">
            <v>Residual fuel oil (prices/100 kg) - prices per 100 kg</v>
          </cell>
          <cell r="V140" t="str">
            <v>Residual fuel oil (prices/100 kg) - prices per 100 kg</v>
          </cell>
          <cell r="W140" t="str">
            <v>Residual fuel oil (prices/100 kg) - prices per 100 kg</v>
          </cell>
          <cell r="X140" t="str">
            <v>Residual fuel oil (prices/100 kg) - prices per 100 kg</v>
          </cell>
        </row>
        <row r="141">
          <cell r="A141">
            <v>20231000</v>
          </cell>
          <cell r="B141">
            <v>7531</v>
          </cell>
          <cell r="C141" t="str">
            <v>u7</v>
          </cell>
          <cell r="D141" t="str">
            <v>g29</v>
          </cell>
          <cell r="E141" t="str">
            <v>Motor spirit - prices per 100 litres</v>
          </cell>
          <cell r="F141" t="str">
            <v>Motor spirit - prices per 100 litres</v>
          </cell>
          <cell r="G141" t="str">
            <v>Motorenbenzin</v>
          </cell>
          <cell r="H141" t="str">
            <v>Motor spirit - prices per 100 litres</v>
          </cell>
          <cell r="I141" t="str">
            <v>Motor spirit - prices per 100 litres</v>
          </cell>
          <cell r="J141" t="str">
            <v>Motor spirit - prices per 100 litres</v>
          </cell>
          <cell r="K141" t="str">
            <v>Motor spirit - prices per 100 litres</v>
          </cell>
          <cell r="L141" t="str">
            <v>Motor spirit - prices per 100 litres</v>
          </cell>
          <cell r="M141" t="str">
            <v>Essence moteur</v>
          </cell>
          <cell r="N141" t="str">
            <v>Motor spirit - prices per 100 litres</v>
          </cell>
          <cell r="O141" t="str">
            <v>Motor spirit - prices per 100 litres</v>
          </cell>
          <cell r="P141" t="str">
            <v>Motor spirit - prices per 100 litres</v>
          </cell>
          <cell r="Q141" t="str">
            <v>Motor spirit - prices per 100 litres</v>
          </cell>
          <cell r="R141" t="str">
            <v>Motor spirit - prices per 100 litres</v>
          </cell>
          <cell r="S141" t="str">
            <v>Motor spirit - prices per 100 litres</v>
          </cell>
          <cell r="T141" t="str">
            <v>Motor spirit - prices per 100 litres</v>
          </cell>
          <cell r="U141" t="str">
            <v>Motor spirit - prices per 100 litres</v>
          </cell>
          <cell r="V141" t="str">
            <v>Motor spirit - prices per 100 litres</v>
          </cell>
          <cell r="W141" t="str">
            <v>Motor spirit - prices per 100 litres</v>
          </cell>
          <cell r="X141" t="str">
            <v>Motor spirit - prices per 100 litres</v>
          </cell>
        </row>
        <row r="142">
          <cell r="A142">
            <v>20232000</v>
          </cell>
          <cell r="B142">
            <v>7535</v>
          </cell>
          <cell r="C142" t="str">
            <v>u7</v>
          </cell>
          <cell r="D142" t="str">
            <v>g29</v>
          </cell>
          <cell r="E142" t="str">
            <v>Diesel oil - prices per 100 litres</v>
          </cell>
          <cell r="F142" t="str">
            <v>Diesel oil - prices per 100 litres</v>
          </cell>
          <cell r="G142" t="str">
            <v>Dieselkraftstoff</v>
          </cell>
          <cell r="H142" t="str">
            <v>Diesel oil - prices per 100 litres</v>
          </cell>
          <cell r="I142" t="str">
            <v>Diesel oil - prices per 100 litres</v>
          </cell>
          <cell r="J142" t="str">
            <v>Diesel oil - prices per 100 litres</v>
          </cell>
          <cell r="K142" t="str">
            <v>Diesel oil - prices per 100 litres</v>
          </cell>
          <cell r="L142" t="str">
            <v>Diesel oil - prices per 100 litres</v>
          </cell>
          <cell r="M142" t="str">
            <v>Gazole</v>
          </cell>
          <cell r="N142" t="str">
            <v>Diesel oil - prices per 100 litres</v>
          </cell>
          <cell r="O142" t="str">
            <v>Diesel oil - prices per 100 litres</v>
          </cell>
          <cell r="P142" t="str">
            <v>Diesel oil - prices per 100 litres</v>
          </cell>
          <cell r="Q142" t="str">
            <v>Diesel oil - prices per 100 litres</v>
          </cell>
          <cell r="R142" t="str">
            <v>Diesel oil - prices per 100 litres</v>
          </cell>
          <cell r="S142" t="str">
            <v>Diesel oil - prices per 100 litres</v>
          </cell>
          <cell r="T142" t="str">
            <v>Diesel oil - prices per 100 litres</v>
          </cell>
          <cell r="U142" t="str">
            <v>Diesel oil - prices per 100 litres</v>
          </cell>
          <cell r="V142" t="str">
            <v>Diesel oil - prices per 100 litres</v>
          </cell>
          <cell r="W142" t="str">
            <v>Diesel oil - prices per 100 litres</v>
          </cell>
          <cell r="X142" t="str">
            <v>Diesel oil - prices per 100 litres</v>
          </cell>
        </row>
        <row r="143">
          <cell r="A143">
            <v>20311100</v>
          </cell>
          <cell r="B143">
            <v>7631</v>
          </cell>
          <cell r="C143" t="str">
            <v>u5</v>
          </cell>
          <cell r="D143" t="str">
            <v>g30</v>
          </cell>
          <cell r="E143" t="str">
            <v>Sulphate of ammonia - prices per 100 kg of nutritive substance</v>
          </cell>
          <cell r="F143" t="str">
            <v>Sulphate of ammonia - prices per 100 kg of nutritive substance</v>
          </cell>
          <cell r="G143" t="str">
            <v>Ammonsulfat</v>
          </cell>
          <cell r="H143" t="str">
            <v>Sulphate of ammonia - prices per 100 kg of nutritive substance</v>
          </cell>
          <cell r="I143" t="str">
            <v>Sulphate of ammonia - prices per 100 kg of nutritive substance</v>
          </cell>
          <cell r="J143" t="str">
            <v>Sulphate of ammonia - prices per 100 kg of nutritive substance</v>
          </cell>
          <cell r="K143" t="str">
            <v>Sulphate of ammonia - prices per 100 kg of nutritive substance</v>
          </cell>
          <cell r="L143" t="str">
            <v>Sulphate of ammonia - prices per 100 kg of nutritive substance</v>
          </cell>
          <cell r="M143" t="str">
            <v>Sulphate d'ammonium</v>
          </cell>
          <cell r="N143" t="str">
            <v>Sulphate of ammonia - prices per 100 kg of nutritive substance</v>
          </cell>
          <cell r="O143" t="str">
            <v>Sulphate of ammonia - prices per 100 kg of nutritive substance</v>
          </cell>
          <cell r="P143" t="str">
            <v>Sulphate of ammonia - prices per 100 kg of nutritive substance</v>
          </cell>
          <cell r="Q143" t="str">
            <v>Sulphate of ammonia - prices per 100 kg of nutritive substance</v>
          </cell>
          <cell r="R143" t="str">
            <v>Sulphate of ammonia - prices per 100 kg of nutritive substance</v>
          </cell>
          <cell r="S143" t="str">
            <v>Sulphate of ammonia - prices per 100 kg of nutritive substance</v>
          </cell>
          <cell r="T143" t="str">
            <v>Sulphate of ammonia - prices per 100 kg of nutritive substance</v>
          </cell>
          <cell r="U143" t="str">
            <v>Sulphate of ammonia - prices per 100 kg of nutritive substance</v>
          </cell>
          <cell r="V143" t="str">
            <v>Sulphate of ammonia - prices per 100 kg of nutritive substance</v>
          </cell>
          <cell r="W143" t="str">
            <v>Sulphate of ammonia - prices per 100 kg of nutritive substance</v>
          </cell>
          <cell r="X143" t="str">
            <v>Sulphate of ammonia - prices per 100 kg of nutritive substance</v>
          </cell>
        </row>
        <row r="144">
          <cell r="A144">
            <v>20311201</v>
          </cell>
          <cell r="B144">
            <v>7635</v>
          </cell>
          <cell r="C144" t="str">
            <v>u5</v>
          </cell>
          <cell r="D144" t="str">
            <v>g30</v>
          </cell>
          <cell r="E144" t="str">
            <v>Ammonium nitrate (26% N) (in sacks) - prices per 100 kg of nutritive substance</v>
          </cell>
          <cell r="F144" t="str">
            <v>Ammonium nitrate (26% N) (in sacks) - prices per 100 kg of nutritive substance</v>
          </cell>
          <cell r="G144" t="str">
            <v>Kalkammonsalpeter (26 % N) (Sackware)</v>
          </cell>
          <cell r="H144" t="str">
            <v>Ammonium nitrate (26% N) (in sacks) - prices per 100 kg of nutritive substance</v>
          </cell>
          <cell r="I144" t="str">
            <v>Ammonium nitrate (26% N) (in sacks) - prices per 100 kg of nutritive substance</v>
          </cell>
          <cell r="J144" t="str">
            <v>Ammonium nitrate (26% N) (in sacks) - prices per 100 kg of nutritive substance</v>
          </cell>
          <cell r="K144" t="str">
            <v>Ammonium nitrate (26% N) (in sacks) - prices per 100 kg of nutritive substance</v>
          </cell>
          <cell r="L144" t="str">
            <v>Ammonium nitrate (26% N) (in sacks) - prices per 100 kg of nutritive substance</v>
          </cell>
          <cell r="M144" t="str">
            <v>Nitrate d'ammonium (26 % N)(en sacs)</v>
          </cell>
          <cell r="N144" t="str">
            <v>Ammonium nitrate (26% N) (in sacks) - prices per 100 kg of nutritive substance</v>
          </cell>
          <cell r="O144" t="str">
            <v>Ammonium nitrate (26% N) (in sacks) - prices per 100 kg of nutritive substance</v>
          </cell>
          <cell r="P144" t="str">
            <v>Ammonium nitrate (26% N) (in sacks) - prices per 100 kg of nutritive substance</v>
          </cell>
          <cell r="Q144" t="str">
            <v>Ammonium nitrate (26% N) (in sacks) - prices per 100 kg of nutritive substance</v>
          </cell>
          <cell r="R144" t="str">
            <v>Ammonium nitrate (26% N) (in sacks) - prices per 100 kg of nutritive substance</v>
          </cell>
          <cell r="S144" t="str">
            <v>Ammonium nitrate (26% N) (in sacks) - prices per 100 kg of nutritive substance</v>
          </cell>
          <cell r="T144" t="str">
            <v>Ammonium nitrate (26% N) (in sacks) - prices per 100 kg of nutritive substance</v>
          </cell>
          <cell r="U144" t="str">
            <v>Ammonium nitrate (26% N) (in sacks) - prices per 100 kg of nutritive substance</v>
          </cell>
          <cell r="V144" t="str">
            <v>Ammonium nitrate (26% N) (in sacks) - prices per 100 kg of nutritive substance</v>
          </cell>
          <cell r="W144" t="str">
            <v>Ammonium nitrate (26% N) (in sacks) - prices per 100 kg of nutritive substance</v>
          </cell>
          <cell r="X144" t="str">
            <v>Ammonium nitrate (26% N) (in sacks) - prices per 100 kg of nutritive substance</v>
          </cell>
        </row>
        <row r="145">
          <cell r="A145">
            <v>20311202</v>
          </cell>
          <cell r="B145">
            <v>7636</v>
          </cell>
          <cell r="C145" t="str">
            <v>u5</v>
          </cell>
          <cell r="D145" t="str">
            <v>g30</v>
          </cell>
          <cell r="E145" t="str">
            <v>Ammonium nitrate (26% N) (in bulk) - prices per 100 kg of nutritive substance</v>
          </cell>
          <cell r="F145" t="str">
            <v>Ammonium nitrate (26% N) (in bulk) - prices per 100 kg of nutritive substance</v>
          </cell>
          <cell r="G145" t="str">
            <v>Kalkammonsalpeter (26 % N) (Schüttgut)</v>
          </cell>
          <cell r="H145" t="str">
            <v>Ammonium nitrate (26% N) (in bulk) - prices per 100 kg of nutritive substance</v>
          </cell>
          <cell r="I145" t="str">
            <v>Ammonium nitrate (26% N) (in bulk) - prices per 100 kg of nutritive substance</v>
          </cell>
          <cell r="J145" t="str">
            <v>Ammonium nitrate (26% N) (in bulk) - prices per 100 kg of nutritive substance</v>
          </cell>
          <cell r="K145" t="str">
            <v>Ammonium nitrate (26% N) (in bulk) - prices per 100 kg of nutritive substance</v>
          </cell>
          <cell r="L145" t="str">
            <v>Ammonium nitrate (26% N) (in bulk) - prices per 100 kg of nutritive substance</v>
          </cell>
          <cell r="M145" t="str">
            <v>Nitrate d'ammonium (26 % N)(en vrac)</v>
          </cell>
          <cell r="N145" t="str">
            <v>Ammonium nitrate (26% N) (in bulk) - prices per 100 kg of nutritive substance</v>
          </cell>
          <cell r="O145" t="str">
            <v>Ammonium nitrate (26% N) (in bulk) - prices per 100 kg of nutritive substance</v>
          </cell>
          <cell r="P145" t="str">
            <v>Ammonium nitrate (26% N) (in bulk) - prices per 100 kg of nutritive substance</v>
          </cell>
          <cell r="Q145" t="str">
            <v>Ammonium nitrate (26% N) (in bulk) - prices per 100 kg of nutritive substance</v>
          </cell>
          <cell r="R145" t="str">
            <v>Ammonium nitrate (26% N) (in bulk) - prices per 100 kg of nutritive substance</v>
          </cell>
          <cell r="S145" t="str">
            <v>Ammonium nitrate (26% N) (in bulk) - prices per 100 kg of nutritive substance</v>
          </cell>
          <cell r="T145" t="str">
            <v>Ammonium nitrate (26% N) (in bulk) - prices per 100 kg of nutritive substance</v>
          </cell>
          <cell r="U145" t="str">
            <v>Ammonium nitrate (26% N) (in bulk) - prices per 100 kg of nutritive substance</v>
          </cell>
          <cell r="V145" t="str">
            <v>Ammonium nitrate (26% N) (in bulk) - prices per 100 kg of nutritive substance</v>
          </cell>
          <cell r="W145" t="str">
            <v>Ammonium nitrate (26% N) (in bulk) - prices per 100 kg of nutritive substance</v>
          </cell>
          <cell r="X145" t="str">
            <v>Ammonium nitrate (26% N) (in bulk) - prices per 100 kg of nutritive substance</v>
          </cell>
        </row>
        <row r="146">
          <cell r="A146">
            <v>20311301</v>
          </cell>
          <cell r="B146">
            <v>7645</v>
          </cell>
          <cell r="C146" t="str">
            <v>u5</v>
          </cell>
          <cell r="D146" t="str">
            <v>g30</v>
          </cell>
          <cell r="E146" t="str">
            <v>Ammonium nitrate (33% N) (in sacks) - prices per 100 kg of nutritive substance</v>
          </cell>
          <cell r="F146" t="str">
            <v>Ammonium nitrate (33% N) (in sacks) - prices per 100 kg of nutritive substance</v>
          </cell>
          <cell r="G146" t="str">
            <v>Ammonsalpeter (33 % N) (Sackware)</v>
          </cell>
          <cell r="H146" t="str">
            <v>Ammonium nitrate (33% N) (in sacks) - prices per 100 kg of nutritive substance</v>
          </cell>
          <cell r="I146" t="str">
            <v>Ammonium nitrate (33% N) (in sacks) - prices per 100 kg of nutritive substance</v>
          </cell>
          <cell r="J146" t="str">
            <v>Ammonium nitrate (33% N) (in sacks) - prices per 100 kg of nutritive substance</v>
          </cell>
          <cell r="K146" t="str">
            <v>Ammonium nitrate (33% N) (in sacks) - prices per 100 kg of nutritive substance</v>
          </cell>
          <cell r="L146" t="str">
            <v>Ammonium nitrate (33% N) (in sacks) - prices per 100 kg of nutritive substance</v>
          </cell>
          <cell r="M146" t="str">
            <v>Nitrate d'ammonium (33 % N)(ensacs)</v>
          </cell>
          <cell r="N146" t="str">
            <v>Ammonium nitrate (33% N) (in sacks) - prices per 100 kg of nutritive substance</v>
          </cell>
          <cell r="O146" t="str">
            <v>Ammonium nitrate (33% N) (in sacks) - prices per 100 kg of nutritive substance</v>
          </cell>
          <cell r="P146" t="str">
            <v>Ammonium nitrate (33% N) (in sacks) - prices per 100 kg of nutritive substance</v>
          </cell>
          <cell r="Q146" t="str">
            <v>Ammonium nitrate (33% N) (in sacks) - prices per 100 kg of nutritive substance</v>
          </cell>
          <cell r="R146" t="str">
            <v>Ammonium nitrate (33% N) (in sacks) - prices per 100 kg of nutritive substance</v>
          </cell>
          <cell r="S146" t="str">
            <v>Ammonium nitrate (33% N) (in sacks) - prices per 100 kg of nutritive substance</v>
          </cell>
          <cell r="T146" t="str">
            <v>Ammonium nitrate (33% N) (in sacks) - prices per 100 kg of nutritive substance</v>
          </cell>
          <cell r="U146" t="str">
            <v>Ammonium nitrate (33% N) (in sacks) - prices per 100 kg of nutritive substance</v>
          </cell>
          <cell r="V146" t="str">
            <v>Ammonium nitrate (33% N) (in sacks) - prices per 100 kg of nutritive substance</v>
          </cell>
          <cell r="W146" t="str">
            <v>Ammonium nitrate (33% N) (in sacks) - prices per 100 kg of nutritive substance</v>
          </cell>
          <cell r="X146" t="str">
            <v>Ammonium nitrate (33% N) (in sacks) - prices per 100 kg of nutritive substance</v>
          </cell>
        </row>
        <row r="147">
          <cell r="A147">
            <v>20311400</v>
          </cell>
          <cell r="B147">
            <v>7647</v>
          </cell>
          <cell r="C147" t="str">
            <v>u5</v>
          </cell>
          <cell r="D147" t="str">
            <v>g30</v>
          </cell>
          <cell r="E147" t="str">
            <v>Urea - prices per 100 kg of nutritive substance</v>
          </cell>
          <cell r="F147" t="str">
            <v>Urea - prices per 100 kg of nutritive substance</v>
          </cell>
          <cell r="G147" t="str">
            <v>Harnstoff (Nährstoffgehalt: 46 %)</v>
          </cell>
          <cell r="H147" t="str">
            <v>Urea - prices per 100 kg of nutritive substance</v>
          </cell>
          <cell r="I147" t="str">
            <v>Urea - prices per 100 kg of nutritive substance</v>
          </cell>
          <cell r="J147" t="str">
            <v>Urea - prices per 100 kg of nutritive substance</v>
          </cell>
          <cell r="K147" t="str">
            <v>Urea - prices per 100 kg of nutritive substance</v>
          </cell>
          <cell r="L147" t="str">
            <v>Urea - prices per 100 kg of nutritive substance</v>
          </cell>
          <cell r="M147" t="str">
            <v>Urée</v>
          </cell>
          <cell r="N147" t="str">
            <v>Urea - prices per 100 kg of nutritive substance</v>
          </cell>
          <cell r="O147" t="str">
            <v>Urea - prices per 100 kg of nutritive substance</v>
          </cell>
          <cell r="P147" t="str">
            <v>Urea - prices per 100 kg of nutritive substance</v>
          </cell>
          <cell r="Q147" t="str">
            <v>Urea - prices per 100 kg of nutritive substance</v>
          </cell>
          <cell r="R147" t="str">
            <v>Urea - prices per 100 kg of nutritive substance</v>
          </cell>
          <cell r="S147" t="str">
            <v>Urea - prices per 100 kg of nutritive substance</v>
          </cell>
          <cell r="T147" t="str">
            <v>Urea - prices per 100 kg of nutritive substance</v>
          </cell>
          <cell r="U147" t="str">
            <v>Urea - prices per 100 kg of nutritive substance</v>
          </cell>
          <cell r="V147" t="str">
            <v>Urea - prices per 100 kg of nutritive substance</v>
          </cell>
          <cell r="W147" t="str">
            <v>Urea - prices per 100 kg of nutritive substance</v>
          </cell>
          <cell r="X147" t="str">
            <v>Urea - prices per 100 kg of nutritive substance</v>
          </cell>
        </row>
        <row r="148">
          <cell r="A148">
            <v>20312100</v>
          </cell>
          <cell r="B148">
            <v>7670</v>
          </cell>
          <cell r="C148" t="str">
            <v>u5</v>
          </cell>
          <cell r="D148" t="str">
            <v>g57</v>
          </cell>
          <cell r="E148" t="str">
            <v>Superphosphate (18% P205) - prices per 100 kg of nutritive substance</v>
          </cell>
          <cell r="F148" t="str">
            <v>Superphosphate (18% P205) - prices per 100 kg of nutritive substance</v>
          </cell>
          <cell r="G148" t="str">
            <v>Superphosphat</v>
          </cell>
          <cell r="H148" t="str">
            <v>Superphosphate (18% P205) - prices per 100 kg of nutritive substance</v>
          </cell>
          <cell r="I148" t="str">
            <v>Superphosphate (18% P205) - prices per 100 kg of nutritive substance</v>
          </cell>
          <cell r="J148" t="str">
            <v>Superphosphate (18% P205) - prices per 100 kg of nutritive substance</v>
          </cell>
          <cell r="K148" t="str">
            <v>Superphosphate (18% P205) - prices per 100 kg of nutritive substance</v>
          </cell>
          <cell r="L148" t="str">
            <v>Superphosphate (18% P205) - prices per 100 kg of nutritive substance</v>
          </cell>
          <cell r="M148" t="str">
            <v>Superphosphate</v>
          </cell>
          <cell r="N148" t="str">
            <v>Superphosphate (18% P205) - prices per 100 kg of nutritive substance</v>
          </cell>
          <cell r="O148" t="str">
            <v>Superphosphate (18% P205) - prices per 100 kg of nutritive substance</v>
          </cell>
          <cell r="P148" t="str">
            <v>Superphosphate (18% P205) - prices per 100 kg of nutritive substance</v>
          </cell>
          <cell r="Q148" t="str">
            <v>Superphosphate (18% P205) - prices per 100 kg of nutritive substance</v>
          </cell>
          <cell r="R148" t="str">
            <v>Superphosphate (18% P205) - prices per 100 kg of nutritive substance</v>
          </cell>
          <cell r="S148" t="str">
            <v>Superphosphate (18% P205) - prices per 100 kg of nutritive substance</v>
          </cell>
          <cell r="T148" t="str">
            <v>Superphosphate (18% P205) - prices per 100 kg of nutritive substance</v>
          </cell>
          <cell r="U148" t="str">
            <v>Superphosphate (18% P205) - prices per 100 kg of nutritive substance</v>
          </cell>
          <cell r="V148" t="str">
            <v>Superphosphate (18% P205) - prices per 100 kg of nutritive substance</v>
          </cell>
          <cell r="W148" t="str">
            <v>Superphosphate (18% P205) - prices per 100 kg of nutritive substance</v>
          </cell>
          <cell r="X148" t="str">
            <v>Superphosphate (18% P205) - prices per 100 kg of nutritive substance</v>
          </cell>
        </row>
        <row r="149">
          <cell r="A149">
            <v>20312200</v>
          </cell>
          <cell r="B149">
            <v>7674</v>
          </cell>
          <cell r="C149" t="str">
            <v>u5</v>
          </cell>
          <cell r="D149" t="str">
            <v>g57</v>
          </cell>
          <cell r="E149" t="str">
            <v>Triple Superphosphate (46% P205) - prices per 100 kg of nutritive substance</v>
          </cell>
          <cell r="F149" t="str">
            <v>Triple Superphosphate (46% P205) - prices per 100 kg of nutritive substance</v>
          </cell>
          <cell r="G149" t="str">
            <v>Tripelsuperphosphat (46 % P2O5)</v>
          </cell>
          <cell r="H149" t="str">
            <v>Triple Superphosphate (46% P205) - prices per 100 kg of nutritive substance</v>
          </cell>
          <cell r="I149" t="str">
            <v>Triple Superphosphate (46% P205) - prices per 100 kg of nutritive substance</v>
          </cell>
          <cell r="J149" t="str">
            <v>Triple Superphosphate (46% P205) - prices per 100 kg of nutritive substance</v>
          </cell>
          <cell r="K149" t="str">
            <v>Triple Superphosphate (46% P205) - prices per 100 kg of nutritive substance</v>
          </cell>
          <cell r="L149" t="str">
            <v>Triple Superphosphate (46% P205) - prices per 100 kg of nutritive substance</v>
          </cell>
          <cell r="M149" t="str">
            <v>Triple superphosphate (46 % P2O5)</v>
          </cell>
          <cell r="N149" t="str">
            <v>Triple Superphosphate (46% P205) - prices per 100 kg of nutritive substance</v>
          </cell>
          <cell r="O149" t="str">
            <v>Triple Superphosphate (46% P205) - prices per 100 kg of nutritive substance</v>
          </cell>
          <cell r="P149" t="str">
            <v>Triple Superphosphate (46% P205) - prices per 100 kg of nutritive substance</v>
          </cell>
          <cell r="Q149" t="str">
            <v>Triple Superphosphate (46% P205) - prices per 100 kg of nutritive substance</v>
          </cell>
          <cell r="R149" t="str">
            <v>Triple Superphosphate (46% P205) - prices per 100 kg of nutritive substance</v>
          </cell>
          <cell r="S149" t="str">
            <v>Triple Superphosphate (46% P205) - prices per 100 kg of nutritive substance</v>
          </cell>
          <cell r="T149" t="str">
            <v>Triple Superphosphate (46% P205) - prices per 100 kg of nutritive substance</v>
          </cell>
          <cell r="U149" t="str">
            <v>Triple Superphosphate (46% P205) - prices per 100 kg of nutritive substance</v>
          </cell>
          <cell r="V149" t="str">
            <v>Triple Superphosphate (46% P205) - prices per 100 kg of nutritive substance</v>
          </cell>
          <cell r="W149" t="str">
            <v>Triple Superphosphate (46% P205) - prices per 100 kg of nutritive substance</v>
          </cell>
          <cell r="X149" t="str">
            <v>Triple Superphosphate (46% P205) - prices per 100 kg of nutritive substance</v>
          </cell>
        </row>
        <row r="150">
          <cell r="A150">
            <v>20313100</v>
          </cell>
          <cell r="B150">
            <v>7681</v>
          </cell>
          <cell r="C150" t="str">
            <v>u5</v>
          </cell>
          <cell r="D150" t="str">
            <v>g61</v>
          </cell>
          <cell r="E150" t="str">
            <v>Muriate of potash - prices per 100 kg of nutritive substance</v>
          </cell>
          <cell r="F150" t="str">
            <v>Muriate of potash - prices per 100 kg of nutritive substance</v>
          </cell>
          <cell r="G150" t="str">
            <v>Kaliumchlorid</v>
          </cell>
          <cell r="H150" t="str">
            <v>Muriate of potash - prices per 100 kg of nutritive substance</v>
          </cell>
          <cell r="I150" t="str">
            <v>Muriate of potash - prices per 100 kg of nutritive substance</v>
          </cell>
          <cell r="J150" t="str">
            <v>Muriate of potash - prices per 100 kg of nutritive substance</v>
          </cell>
          <cell r="K150" t="str">
            <v>Muriate of potash - prices per 100 kg of nutritive substance</v>
          </cell>
          <cell r="L150" t="str">
            <v>Muriate of potash - prices per 100 kg of nutritive substance</v>
          </cell>
          <cell r="M150" t="str">
            <v>Chlorure de potassium</v>
          </cell>
          <cell r="N150" t="str">
            <v>Muriate of potash - prices per 100 kg of nutritive substance</v>
          </cell>
          <cell r="O150" t="str">
            <v>Muriate of potash - prices per 100 kg of nutritive substance</v>
          </cell>
          <cell r="P150" t="str">
            <v>Muriate of potash - prices per 100 kg of nutritive substance</v>
          </cell>
          <cell r="Q150" t="str">
            <v>Muriate of potash - prices per 100 kg of nutritive substance</v>
          </cell>
          <cell r="R150" t="str">
            <v>Muriate of potash - prices per 100 kg of nutritive substance</v>
          </cell>
          <cell r="S150" t="str">
            <v>Muriate of potash - prices per 100 kg of nutritive substance</v>
          </cell>
          <cell r="T150" t="str">
            <v>Muriate of potash - prices per 100 kg of nutritive substance</v>
          </cell>
          <cell r="U150" t="str">
            <v>Muriate of potash - prices per 100 kg of nutritive substance</v>
          </cell>
          <cell r="V150" t="str">
            <v>Muriate of potash - prices per 100 kg of nutritive substance</v>
          </cell>
          <cell r="W150" t="str">
            <v>Muriate of potash - prices per 100 kg of nutritive substance</v>
          </cell>
          <cell r="X150" t="str">
            <v>Muriate of potash - prices per 100 kg of nutritive substance</v>
          </cell>
        </row>
        <row r="151">
          <cell r="A151">
            <v>20313200</v>
          </cell>
          <cell r="B151">
            <v>7685</v>
          </cell>
          <cell r="C151" t="str">
            <v>u5</v>
          </cell>
          <cell r="D151" t="str">
            <v>g61</v>
          </cell>
          <cell r="E151" t="str">
            <v>Sulphate of potash - prices per 100 kg of nutritive substance</v>
          </cell>
          <cell r="F151" t="str">
            <v>Sulphate of potash - prices per 100 kg of nutritive substance</v>
          </cell>
          <cell r="G151" t="str">
            <v>Kaliumsulfat</v>
          </cell>
          <cell r="H151" t="str">
            <v>Sulphate of potash - prices per 100 kg of nutritive substance</v>
          </cell>
          <cell r="I151" t="str">
            <v>Sulphate of potash - prices per 100 kg of nutritive substance</v>
          </cell>
          <cell r="J151" t="str">
            <v>Sulphate of potash - prices per 100 kg of nutritive substance</v>
          </cell>
          <cell r="K151" t="str">
            <v>Sulphate of potash - prices per 100 kg of nutritive substance</v>
          </cell>
          <cell r="L151" t="str">
            <v>Sulphate of potash - prices per 100 kg of nutritive substance</v>
          </cell>
          <cell r="M151" t="str">
            <v>Sulfate de potassium</v>
          </cell>
          <cell r="N151" t="str">
            <v>Sulphate of potash - prices per 100 kg of nutritive substance</v>
          </cell>
          <cell r="O151" t="str">
            <v>Sulphate of potash - prices per 100 kg of nutritive substance</v>
          </cell>
          <cell r="P151" t="str">
            <v>Sulphate of potash - prices per 100 kg of nutritive substance</v>
          </cell>
          <cell r="Q151" t="str">
            <v>Sulphate of potash - prices per 100 kg of nutritive substance</v>
          </cell>
          <cell r="R151" t="str">
            <v>Sulphate of potash - prices per 100 kg of nutritive substance</v>
          </cell>
          <cell r="S151" t="str">
            <v>Sulphate of potash - prices per 100 kg of nutritive substance</v>
          </cell>
          <cell r="T151" t="str">
            <v>Sulphate of potash - prices per 100 kg of nutritive substance</v>
          </cell>
          <cell r="U151" t="str">
            <v>Sulphate of potash - prices per 100 kg of nutritive substance</v>
          </cell>
          <cell r="V151" t="str">
            <v>Sulphate of potash - prices per 100 kg of nutritive substance</v>
          </cell>
          <cell r="W151" t="str">
            <v>Sulphate of potash - prices per 100 kg of nutritive substance</v>
          </cell>
          <cell r="X151" t="str">
            <v>Sulphate of potash - prices per 100 kg of nutritive substance</v>
          </cell>
        </row>
        <row r="152">
          <cell r="A152">
            <v>20321100</v>
          </cell>
          <cell r="B152">
            <v>7711</v>
          </cell>
          <cell r="C152" t="str">
            <v>u4</v>
          </cell>
          <cell r="D152" t="str">
            <v>g31</v>
          </cell>
          <cell r="E152" t="str">
            <v>Binary fertilizers: 1 - 1 - 0 - prices per 100 kg merchandise</v>
          </cell>
          <cell r="F152" t="str">
            <v>Binary fertilizers: 1 - 1 - 0 - prices per 100 kg merchandise</v>
          </cell>
          <cell r="G152" t="str">
            <v>Zweinährstoffdünger: 1 - 1 - 0</v>
          </cell>
          <cell r="H152" t="str">
            <v>Binary fertilizers: 1 - 1 - 0 - prices per 100 kg merchandise</v>
          </cell>
          <cell r="I152" t="str">
            <v>Binary fertilizers: 1 - 1 - 0 - prices per 100 kg merchandise</v>
          </cell>
          <cell r="J152" t="str">
            <v>Binary fertilizers: 1 - 1 - 0 - prices per 100 kg merchandise</v>
          </cell>
          <cell r="K152" t="str">
            <v>Binary fertilizers: 1 - 1 - 0 - prices per 100 kg merchandise</v>
          </cell>
          <cell r="L152" t="str">
            <v>Binary fertilizers: 1 - 1 - 0 - prices per 100 kg merchandise</v>
          </cell>
          <cell r="M152" t="str">
            <v>Engrais binaires: 1 - 1 - 0</v>
          </cell>
          <cell r="N152" t="str">
            <v>Binary fertilizers: 1 - 1 - 0 - prices per 100 kg merchandise</v>
          </cell>
          <cell r="O152" t="str">
            <v>Binary fertilizers: 1 - 1 - 0 - prices per 100 kg merchandise</v>
          </cell>
          <cell r="P152" t="str">
            <v>Binary fertilizers: 1 - 1 - 0 - prices per 100 kg merchandise</v>
          </cell>
          <cell r="Q152" t="str">
            <v>Binary fertilizers: 1 - 1 - 0 - prices per 100 kg merchandise</v>
          </cell>
          <cell r="R152" t="str">
            <v>Binary fertilizers: 1 - 1 - 0 - prices per 100 kg merchandise</v>
          </cell>
          <cell r="S152" t="str">
            <v>Binary fertilizers: 1 - 1 - 0 - prices per 100 kg merchandise</v>
          </cell>
          <cell r="T152" t="str">
            <v>Binary fertilizers: 1 - 1 - 0 - prices per 100 kg merchandise</v>
          </cell>
          <cell r="U152" t="str">
            <v>Binary fertilizers: 1 - 1 - 0 - prices per 100 kg merchandise</v>
          </cell>
          <cell r="V152" t="str">
            <v>Binary fertilizers: 1 - 1 - 0 - prices per 100 kg merchandise</v>
          </cell>
          <cell r="W152" t="str">
            <v>Binary fertilizers: 1 - 1 - 0 - prices per 100 kg merchandise</v>
          </cell>
          <cell r="X152" t="str">
            <v>Binary fertilizers: 1 - 1 - 0 - prices per 100 kg merchandise</v>
          </cell>
        </row>
        <row r="153">
          <cell r="A153">
            <v>20322100</v>
          </cell>
          <cell r="B153">
            <v>7721</v>
          </cell>
          <cell r="C153" t="str">
            <v>u4</v>
          </cell>
          <cell r="D153" t="str">
            <v>g59</v>
          </cell>
          <cell r="E153" t="str">
            <v>Binary fertilizers: 0 - 1 - 1 - prices per 100 kg merchandise</v>
          </cell>
          <cell r="F153" t="str">
            <v>Binary fertilizers: 0 - 1 - 1 - prices per 100 kg merchandise</v>
          </cell>
          <cell r="G153" t="str">
            <v>Zweinährstoffdünger: 0 - 1 - 1</v>
          </cell>
          <cell r="H153" t="str">
            <v>Binary fertilizers: 0 - 1 - 1 - prices per 100 kg merchandise</v>
          </cell>
          <cell r="I153" t="str">
            <v>Binary fertilizers: 0 - 1 - 1 - prices per 100 kg merchandise</v>
          </cell>
          <cell r="J153" t="str">
            <v>Binary fertilizers: 0 - 1 - 1 - prices per 100 kg merchandise</v>
          </cell>
          <cell r="K153" t="str">
            <v>Binary fertilizers: 0 - 1 - 1 - prices per 100 kg merchandise</v>
          </cell>
          <cell r="L153" t="str">
            <v>Binary fertilizers: 0 - 1 - 1 - prices per 100 kg merchandise</v>
          </cell>
          <cell r="M153" t="str">
            <v>Engrais binaires: 0 - 1 - 1</v>
          </cell>
          <cell r="N153" t="str">
            <v>Binary fertilizers: 0 - 1 - 1 - prices per 100 kg merchandise</v>
          </cell>
          <cell r="O153" t="str">
            <v>Binary fertilizers: 0 - 1 - 1 - prices per 100 kg merchandise</v>
          </cell>
          <cell r="P153" t="str">
            <v>Binary fertilizers: 0 - 1 - 1 - prices per 100 kg merchandise</v>
          </cell>
          <cell r="Q153" t="str">
            <v>Binary fertilizers: 0 - 1 - 1 - prices per 100 kg merchandise</v>
          </cell>
          <cell r="R153" t="str">
            <v>Binary fertilizers: 0 - 1 - 1 - prices per 100 kg merchandise</v>
          </cell>
          <cell r="S153" t="str">
            <v>Binary fertilizers: 0 - 1 - 1 - prices per 100 kg merchandise</v>
          </cell>
          <cell r="T153" t="str">
            <v>Binary fertilizers: 0 - 1 - 1 - prices per 100 kg merchandise</v>
          </cell>
          <cell r="U153" t="str">
            <v>Binary fertilizers: 0 - 1 - 1 - prices per 100 kg merchandise</v>
          </cell>
          <cell r="V153" t="str">
            <v>Binary fertilizers: 0 - 1 - 1 - prices per 100 kg merchandise</v>
          </cell>
          <cell r="W153" t="str">
            <v>Binary fertilizers: 0 - 1 - 1 - prices per 100 kg merchandise</v>
          </cell>
          <cell r="X153" t="str">
            <v>Binary fertilizers: 0 - 1 - 1 - prices per 100 kg merchandise</v>
          </cell>
        </row>
        <row r="154">
          <cell r="A154">
            <v>20322200</v>
          </cell>
          <cell r="B154">
            <v>7725</v>
          </cell>
          <cell r="C154" t="str">
            <v>u4</v>
          </cell>
          <cell r="D154" t="str">
            <v>g59</v>
          </cell>
          <cell r="E154" t="str">
            <v>Binary fertilizers: 0 - 20 - 20 - prices per 100 kg merchandise</v>
          </cell>
          <cell r="F154" t="str">
            <v>Binary fertilizers: 0 - 20 - 20 - prices per 100 kg merchandise</v>
          </cell>
          <cell r="G154" t="str">
            <v>Zweinährstoffdünger: 0 - 20 - 20</v>
          </cell>
          <cell r="H154" t="str">
            <v>Binary fertilizers: 0 - 20 - 20 - prices per 100 kg merchandise</v>
          </cell>
          <cell r="I154" t="str">
            <v>Binary fertilizers: 0 - 20 - 20 - prices per 100 kg merchandise</v>
          </cell>
          <cell r="J154" t="str">
            <v>Binary fertilizers: 0 - 20 - 20 - prices per 100 kg merchandise</v>
          </cell>
          <cell r="K154" t="str">
            <v>Binary fertilizers: 0 - 20 - 20 - prices per 100 kg merchandise</v>
          </cell>
          <cell r="L154" t="str">
            <v>Binary fertilizers: 0 - 20 - 20 - prices per 100 kg merchandise</v>
          </cell>
          <cell r="M154" t="str">
            <v>Engrais binaires: 0 - 20 - 20</v>
          </cell>
          <cell r="N154" t="str">
            <v>Binary fertilizers: 0 - 20 - 20 - prices per 100 kg merchandise</v>
          </cell>
          <cell r="O154" t="str">
            <v>Binary fertilizers: 0 - 20 - 20 - prices per 100 kg merchandise</v>
          </cell>
          <cell r="P154" t="str">
            <v>Binary fertilizers: 0 - 20 - 20 - prices per 100 kg merchandise</v>
          </cell>
          <cell r="Q154" t="str">
            <v>Binary fertilizers: 0 - 20 - 20 - prices per 100 kg merchandise</v>
          </cell>
          <cell r="R154" t="str">
            <v>Binary fertilizers: 0 - 20 - 20 - prices per 100 kg merchandise</v>
          </cell>
          <cell r="S154" t="str">
            <v>Binary fertilizers: 0 - 20 - 20 - prices per 100 kg merchandise</v>
          </cell>
          <cell r="T154" t="str">
            <v>Binary fertilizers: 0 - 20 - 20 - prices per 100 kg merchandise</v>
          </cell>
          <cell r="U154" t="str">
            <v>Binary fertilizers: 0 - 20 - 20 - prices per 100 kg merchandise</v>
          </cell>
          <cell r="V154" t="str">
            <v>Binary fertilizers: 0 - 20 - 20 - prices per 100 kg merchandise</v>
          </cell>
          <cell r="W154" t="str">
            <v>Binary fertilizers: 0 - 20 - 20 - prices per 100 kg merchandise</v>
          </cell>
          <cell r="X154" t="str">
            <v>Binary fertilizers: 0 - 20 - 20 - prices per 100 kg merchandise</v>
          </cell>
        </row>
        <row r="155">
          <cell r="A155">
            <v>20323100</v>
          </cell>
          <cell r="B155">
            <v>7750</v>
          </cell>
          <cell r="C155" t="str">
            <v>u4</v>
          </cell>
          <cell r="D155" t="str">
            <v>g32</v>
          </cell>
          <cell r="E155" t="str">
            <v>Ternary fertilizers: 1 - 0;5 - 0;5 - prices per 100 kg merchandise</v>
          </cell>
          <cell r="F155" t="str">
            <v>Ternary fertilizers: 1 - 0;5 - 0;5 - prices per 100 kg merchandise</v>
          </cell>
          <cell r="G155" t="str">
            <v>Dreinährstoffdünger: 1 - 0.5 - 0.5</v>
          </cell>
          <cell r="H155" t="str">
            <v>Ternary fertilizers: 1 - 0;5 - 0;5 - prices per 100 kg merchandise</v>
          </cell>
          <cell r="I155" t="str">
            <v>Ternary fertilizers: 1 - 0;5 - 0;5 - prices per 100 kg merchandise</v>
          </cell>
          <cell r="J155" t="str">
            <v>Ternary fertilizers: 1 - 0;5 - 0;5 - prices per 100 kg merchandise</v>
          </cell>
          <cell r="K155" t="str">
            <v>Ternary fertilizers: 1 - 0;5 - 0;5 - prices per 100 kg merchandise</v>
          </cell>
          <cell r="L155" t="str">
            <v>Ternary fertilizers: 1 - 0;5 - 0;5 - prices per 100 kg merchandise</v>
          </cell>
          <cell r="M155" t="str">
            <v>Engrais ternaires: 1 - 0.5 - 0.5</v>
          </cell>
          <cell r="N155" t="str">
            <v>Ternary fertilizers: 1 - 0;5 - 0;5 - prices per 100 kg merchandise</v>
          </cell>
          <cell r="O155" t="str">
            <v>Ternary fertilizers: 1 - 0;5 - 0;5 - prices per 100 kg merchandise</v>
          </cell>
          <cell r="P155" t="str">
            <v>Ternary fertilizers: 1 - 0;5 - 0;5 - prices per 100 kg merchandise</v>
          </cell>
          <cell r="Q155" t="str">
            <v>Ternary fertilizers: 1 - 0;5 - 0;5 - prices per 100 kg merchandise</v>
          </cell>
          <cell r="R155" t="str">
            <v>Ternary fertilizers: 1 - 0;5 - 0;5 - prices per 100 kg merchandise</v>
          </cell>
          <cell r="S155" t="str">
            <v>Ternary fertilizers: 1 - 0;5 - 0;5 - prices per 100 kg merchandise</v>
          </cell>
          <cell r="T155" t="str">
            <v>Ternary fertilizers: 1 - 0;5 - 0;5 - prices per 100 kg merchandise</v>
          </cell>
          <cell r="U155" t="str">
            <v>Ternary fertilizers: 1 - 0;5 - 0;5 - prices per 100 kg merchandise</v>
          </cell>
          <cell r="V155" t="str">
            <v>Ternary fertilizers: 1 - 0;5 - 0;5 - prices per 100 kg merchandise</v>
          </cell>
          <cell r="W155" t="str">
            <v>Ternary fertilizers: 1 - 0;5 - 0;5 - prices per 100 kg merchandise</v>
          </cell>
          <cell r="X155" t="str">
            <v>Ternary fertilizers: 1 - 0;5 - 0;5 - prices per 100 kg merchandise</v>
          </cell>
        </row>
        <row r="156">
          <cell r="A156">
            <v>20323600</v>
          </cell>
          <cell r="B156">
            <v>7758</v>
          </cell>
          <cell r="C156" t="str">
            <v>u4</v>
          </cell>
          <cell r="D156" t="str">
            <v>g32</v>
          </cell>
          <cell r="E156" t="str">
            <v>Ternary fertilizers: 20 - 10 - 10 - prices per 100 kg merchandise</v>
          </cell>
          <cell r="F156" t="str">
            <v>Ternary fertilizers: 20 - 10 - 10 - prices per 100 kg merchandise</v>
          </cell>
          <cell r="G156" t="str">
            <v>Dreinährstoffdünger: 20 - 10 - 10</v>
          </cell>
          <cell r="H156" t="str">
            <v>Ternary fertilizers: 20 - 10 - 10 - prices per 100 kg merchandise</v>
          </cell>
          <cell r="I156" t="str">
            <v>Ternary fertilizers: 20 - 10 - 10 - prices per 100 kg merchandise</v>
          </cell>
          <cell r="J156" t="str">
            <v>Ternary fertilizers: 20 - 10 - 10 - prices per 100 kg merchandise</v>
          </cell>
          <cell r="K156" t="str">
            <v>Ternary fertilizers: 20 - 10 - 10 - prices per 100 kg merchandise</v>
          </cell>
          <cell r="L156" t="str">
            <v>Ternary fertilizers: 20 - 10 - 10 - prices per 100 kg merchandise</v>
          </cell>
          <cell r="M156" t="str">
            <v>Engrais ternaires: 20 - 10 - 10</v>
          </cell>
          <cell r="N156" t="str">
            <v>Ternary fertilizers: 20 - 10 - 10 - prices per 100 kg merchandise</v>
          </cell>
          <cell r="O156" t="str">
            <v>Ternary fertilizers: 20 - 10 - 10 - prices per 100 kg merchandise</v>
          </cell>
          <cell r="P156" t="str">
            <v>Ternary fertilizers: 20 - 10 - 10 - prices per 100 kg merchandise</v>
          </cell>
          <cell r="Q156" t="str">
            <v>Ternary fertilizers: 20 - 10 - 10 - prices per 100 kg merchandise</v>
          </cell>
          <cell r="R156" t="str">
            <v>Ternary fertilizers: 20 - 10 - 10 - prices per 100 kg merchandise</v>
          </cell>
          <cell r="S156" t="str">
            <v>Ternary fertilizers: 20 - 10 - 10 - prices per 100 kg merchandise</v>
          </cell>
          <cell r="T156" t="str">
            <v>Ternary fertilizers: 20 - 10 - 10 - prices per 100 kg merchandise</v>
          </cell>
          <cell r="U156" t="str">
            <v>Ternary fertilizers: 20 - 10 - 10 - prices per 100 kg merchandise</v>
          </cell>
          <cell r="V156" t="str">
            <v>Ternary fertilizers: 20 - 10 - 10 - prices per 100 kg merchandise</v>
          </cell>
          <cell r="W156" t="str">
            <v>Ternary fertilizers: 20 - 10 - 10 - prices per 100 kg merchandise</v>
          </cell>
          <cell r="X156" t="str">
            <v>Ternary fertilizers: 20 - 10 - 10 - prices per 100 kg merchandise</v>
          </cell>
        </row>
        <row r="157">
          <cell r="A157">
            <v>20323201</v>
          </cell>
          <cell r="B157">
            <v>7766</v>
          </cell>
          <cell r="C157" t="str">
            <v>u4</v>
          </cell>
          <cell r="D157" t="str">
            <v>g32</v>
          </cell>
          <cell r="E157" t="str">
            <v>Ternary fertilizers: 1 - 1 - 1 (in sacks) - prices per 100 kg merchandise</v>
          </cell>
          <cell r="F157" t="str">
            <v>Ternary fertilizers: 1 - 1 - 1 (in sacks) - prices per 100 kg merchandise</v>
          </cell>
          <cell r="G157" t="str">
            <v>Dreinährstoffdünger: 1 - 1 - 1 (Sackware)</v>
          </cell>
          <cell r="H157" t="str">
            <v>Ternary fertilizers: 1 - 1 - 1 (in sacks) - prices per 100 kg merchandise</v>
          </cell>
          <cell r="I157" t="str">
            <v>Ternary fertilizers: 1 - 1 - 1 (in sacks) - prices per 100 kg merchandise</v>
          </cell>
          <cell r="J157" t="str">
            <v>Ternary fertilizers: 1 - 1 - 1 (in sacks) - prices per 100 kg merchandise</v>
          </cell>
          <cell r="K157" t="str">
            <v>Ternary fertilizers: 1 - 1 - 1 (in sacks) - prices per 100 kg merchandise</v>
          </cell>
          <cell r="L157" t="str">
            <v>Ternary fertilizers: 1 - 1 - 1 (in sacks) - prices per 100 kg merchandise</v>
          </cell>
          <cell r="M157" t="str">
            <v>Engrais ternaires: 1 - 1 - 1 (en vrac)</v>
          </cell>
          <cell r="N157" t="str">
            <v>Ternary fertilizers: 1 - 1 - 1 (in sacks) - prices per 100 kg merchandise</v>
          </cell>
          <cell r="O157" t="str">
            <v>Ternary fertilizers: 1 - 1 - 1 (in sacks) - prices per 100 kg merchandise</v>
          </cell>
          <cell r="P157" t="str">
            <v>Ternary fertilizers: 1 - 1 - 1 (in sacks) - prices per 100 kg merchandise</v>
          </cell>
          <cell r="Q157" t="str">
            <v>Ternary fertilizers: 1 - 1 - 1 (in sacks) - prices per 100 kg merchandise</v>
          </cell>
          <cell r="R157" t="str">
            <v>Ternary fertilizers: 1 - 1 - 1 (in sacks) - prices per 100 kg merchandise</v>
          </cell>
          <cell r="S157" t="str">
            <v>Ternary fertilizers: 1 - 1 - 1 (in sacks) - prices per 100 kg merchandise</v>
          </cell>
          <cell r="T157" t="str">
            <v>Ternary fertilizers: 1 - 1 - 1 (in sacks) - prices per 100 kg merchandise</v>
          </cell>
          <cell r="U157" t="str">
            <v>Ternary fertilizers: 1 - 1 - 1 (in sacks) - prices per 100 kg merchandise</v>
          </cell>
          <cell r="V157" t="str">
            <v>Ternary fertilizers: 1 - 1 - 1 (in sacks) - prices per 100 kg merchandise</v>
          </cell>
          <cell r="W157" t="str">
            <v>Ternary fertilizers: 1 - 1 - 1 (in sacks) - prices per 100 kg merchandise</v>
          </cell>
          <cell r="X157" t="str">
            <v>Ternary fertilizers: 1 - 1 - 1 (in sacks) - prices per 100 kg merchandise</v>
          </cell>
        </row>
        <row r="158">
          <cell r="A158">
            <v>20323301</v>
          </cell>
          <cell r="B158">
            <v>7759</v>
          </cell>
          <cell r="C158" t="str">
            <v>u4</v>
          </cell>
          <cell r="D158" t="str">
            <v>g32</v>
          </cell>
          <cell r="E158" t="str">
            <v>Ternary Fertilizers: 17 - 17 - 17 (in sacks) - prices per 100 kg merchandise</v>
          </cell>
          <cell r="F158" t="str">
            <v>Ternary Fertilizers: 17 - 17 - 17 (in sacks) - prices per 100 kg merchandise</v>
          </cell>
          <cell r="G158" t="str">
            <v>Dreinährstoffdünger: 17 - 17 - 17 (Sackware)</v>
          </cell>
          <cell r="H158" t="str">
            <v>Ternary Fertilizers: 17 - 17 - 17 (in sacks) - prices per 100 kg merchandise</v>
          </cell>
          <cell r="I158" t="str">
            <v>Ternary Fertilizers: 17 - 17 - 17 (in sacks) - prices per 100 kg merchandise</v>
          </cell>
          <cell r="J158" t="str">
            <v>Ternary Fertilizers: 17 - 17 - 17 (in sacks) - prices per 100 kg merchandise</v>
          </cell>
          <cell r="K158" t="str">
            <v>Ternary Fertilizers: 17 - 17 - 17 (in sacks) - prices per 100 kg merchandise</v>
          </cell>
          <cell r="L158" t="str">
            <v>Ternary Fertilizers: 17 - 17 - 17 (in sacks) - prices per 100 kg merchandise</v>
          </cell>
          <cell r="M158" t="str">
            <v>Engrais ternaires: 17 - 17 - 17 (en sacs)</v>
          </cell>
          <cell r="N158" t="str">
            <v>Ternary Fertilizers: 17 - 17 - 17 (in sacks) - prices per 100 kg merchandise</v>
          </cell>
          <cell r="O158" t="str">
            <v>Ternary Fertilizers: 17 - 17 - 17 (in sacks) - prices per 100 kg merchandise</v>
          </cell>
          <cell r="P158" t="str">
            <v>Ternary Fertilizers: 17 - 17 - 17 (in sacks) - prices per 100 kg merchandise</v>
          </cell>
          <cell r="Q158" t="str">
            <v>Ternary Fertilizers: 17 - 17 - 17 (in sacks) - prices per 100 kg merchandise</v>
          </cell>
          <cell r="R158" t="str">
            <v>Ternary Fertilizers: 17 - 17 - 17 (in sacks) - prices per 100 kg merchandise</v>
          </cell>
          <cell r="S158" t="str">
            <v>Ternary Fertilizers: 17 - 17 - 17 (in sacks) - prices per 100 kg merchandise</v>
          </cell>
          <cell r="T158" t="str">
            <v>Ternary Fertilizers: 17 - 17 - 17 (in sacks) - prices per 100 kg merchandise</v>
          </cell>
          <cell r="U158" t="str">
            <v>Ternary Fertilizers: 17 - 17 - 17 (in sacks) - prices per 100 kg merchandise</v>
          </cell>
          <cell r="V158" t="str">
            <v>Ternary Fertilizers: 17 - 17 - 17 (in sacks) - prices per 100 kg merchandise</v>
          </cell>
          <cell r="W158" t="str">
            <v>Ternary Fertilizers: 17 - 17 - 17 (in sacks) - prices per 100 kg merchandise</v>
          </cell>
          <cell r="X158" t="str">
            <v>Ternary Fertilizers: 17 - 17 - 17 (in sacks) - prices per 100 kg merchandise</v>
          </cell>
        </row>
        <row r="159">
          <cell r="A159">
            <v>20323202</v>
          </cell>
          <cell r="B159">
            <v>7767</v>
          </cell>
          <cell r="C159" t="str">
            <v>u4</v>
          </cell>
          <cell r="D159" t="str">
            <v>g32</v>
          </cell>
          <cell r="E159" t="str">
            <v>Ternary fertilizers: 1 - 1 - 1 (in bulk) - prices per 100 kg merchandise</v>
          </cell>
          <cell r="F159" t="str">
            <v>Ternary fertilizers: 1 - 1 - 1 (in bulk) - prices per 100 kg merchandise</v>
          </cell>
          <cell r="G159" t="str">
            <v>Dreinährstoffdünger: 1 - 1 - 1 (Schüttgut)</v>
          </cell>
          <cell r="H159" t="str">
            <v>Ternary fertilizers: 1 - 1 - 1 (in bulk) - prices per 100 kg merchandise</v>
          </cell>
          <cell r="I159" t="str">
            <v>Ternary fertilizers: 1 - 1 - 1 (in bulk) - prices per 100 kg merchandise</v>
          </cell>
          <cell r="J159" t="str">
            <v>Ternary fertilizers: 1 - 1 - 1 (in bulk) - prices per 100 kg merchandise</v>
          </cell>
          <cell r="K159" t="str">
            <v>Ternary fertilizers: 1 - 1 - 1 (in bulk) - prices per 100 kg merchandise</v>
          </cell>
          <cell r="L159" t="str">
            <v>Ternary fertilizers: 1 - 1 - 1 (in bulk) - prices per 100 kg merchandise</v>
          </cell>
          <cell r="M159" t="str">
            <v>Engrais ternaires: 1 - 1 - 1 (en vrac)</v>
          </cell>
          <cell r="N159" t="str">
            <v>Ternary fertilizers: 1 - 1 - 1 (in bulk) - prices per 100 kg merchandise</v>
          </cell>
          <cell r="O159" t="str">
            <v>Ternary fertilizers: 1 - 1 - 1 (in bulk) - prices per 100 kg merchandise</v>
          </cell>
          <cell r="P159" t="str">
            <v>Ternary fertilizers: 1 - 1 - 1 (in bulk) - prices per 100 kg merchandise</v>
          </cell>
          <cell r="Q159" t="str">
            <v>Ternary fertilizers: 1 - 1 - 1 (in bulk) - prices per 100 kg merchandise</v>
          </cell>
          <cell r="R159" t="str">
            <v>Ternary fertilizers: 1 - 1 - 1 (in bulk) - prices per 100 kg merchandise</v>
          </cell>
          <cell r="S159" t="str">
            <v>Ternary fertilizers: 1 - 1 - 1 (in bulk) - prices per 100 kg merchandise</v>
          </cell>
          <cell r="T159" t="str">
            <v>Ternary fertilizers: 1 - 1 - 1 (in bulk) - prices per 100 kg merchandise</v>
          </cell>
          <cell r="U159" t="str">
            <v>Ternary fertilizers: 1 - 1 - 1 (in bulk) - prices per 100 kg merchandise</v>
          </cell>
          <cell r="V159" t="str">
            <v>Ternary fertilizers: 1 - 1 - 1 (in bulk) - prices per 100 kg merchandise</v>
          </cell>
          <cell r="W159" t="str">
            <v>Ternary fertilizers: 1 - 1 - 1 (in bulk) - prices per 100 kg merchandise</v>
          </cell>
          <cell r="X159" t="str">
            <v>Ternary fertilizers: 1 - 1 - 1 (in bulk) - prices per 100 kg merchandise</v>
          </cell>
        </row>
        <row r="160">
          <cell r="A160">
            <v>20323302</v>
          </cell>
          <cell r="B160">
            <v>7790</v>
          </cell>
          <cell r="C160" t="str">
            <v>u4</v>
          </cell>
          <cell r="D160" t="str">
            <v>g32</v>
          </cell>
          <cell r="E160" t="str">
            <v>Ternary Fertilizers : 17 - 17 - 17 (in bulk) - prices per 100 kg merchandise</v>
          </cell>
          <cell r="F160" t="str">
            <v>Ternary Fertilizers : 17 - 17 - 17 (in bulk) - prices per 100 kg merchandise</v>
          </cell>
          <cell r="G160" t="str">
            <v>Dreinährstoffdünger: 17 - 17 - 17 (Schüttgut)</v>
          </cell>
          <cell r="H160" t="str">
            <v>Ternary Fertilizers : 17 - 17 - 17 (in bulk) - prices per 100 kg merchandise</v>
          </cell>
          <cell r="I160" t="str">
            <v>Ternary Fertilizers : 17 - 17 - 17 (in bulk) - prices per 100 kg merchandise</v>
          </cell>
          <cell r="J160" t="str">
            <v>Ternary Fertilizers : 17 - 17 - 17 (in bulk) - prices per 100 kg merchandise</v>
          </cell>
          <cell r="K160" t="str">
            <v>Ternary Fertilizers : 17 - 17 - 17 (in bulk) - prices per 100 kg merchandise</v>
          </cell>
          <cell r="L160" t="str">
            <v>Ternary Fertilizers : 17 - 17 - 17 (in bulk) - prices per 100 kg merchandise</v>
          </cell>
          <cell r="M160" t="str">
            <v>Engrais ternaires: 17 - 17 - 17 (en vrac)</v>
          </cell>
          <cell r="N160" t="str">
            <v>Ternary Fertilizers : 17 - 17 - 17 (in bulk) - prices per 100 kg merchandise</v>
          </cell>
          <cell r="O160" t="str">
            <v>Ternary Fertilizers : 17 - 17 - 17 (in bulk) - prices per 100 kg merchandise</v>
          </cell>
          <cell r="P160" t="str">
            <v>Ternary Fertilizers : 17 - 17 - 17 (in bulk) - prices per 100 kg merchandise</v>
          </cell>
          <cell r="Q160" t="str">
            <v>Ternary Fertilizers : 17 - 17 - 17 (in bulk) - prices per 100 kg merchandise</v>
          </cell>
          <cell r="R160" t="str">
            <v>Ternary Fertilizers : 17 - 17 - 17 (in bulk) - prices per 100 kg merchandise</v>
          </cell>
          <cell r="S160" t="str">
            <v>Ternary Fertilizers : 17 - 17 - 17 (in bulk) - prices per 100 kg merchandise</v>
          </cell>
          <cell r="T160" t="str">
            <v>Ternary Fertilizers : 17 - 17 - 17 (in bulk) - prices per 100 kg merchandise</v>
          </cell>
          <cell r="U160" t="str">
            <v>Ternary Fertilizers : 17 - 17 - 17 (in bulk) - prices per 100 kg merchandise</v>
          </cell>
          <cell r="V160" t="str">
            <v>Ternary Fertilizers : 17 - 17 - 17 (in bulk) - prices per 100 kg merchandise</v>
          </cell>
          <cell r="W160" t="str">
            <v>Ternary Fertilizers : 17 - 17 - 17 (in bulk) - prices per 100 kg merchandise</v>
          </cell>
          <cell r="X160" t="str">
            <v>Ternary Fertilizers : 17 - 17 - 17 (in bulk) - prices per 100 kg merchandise</v>
          </cell>
        </row>
        <row r="161">
          <cell r="A161">
            <v>20323700</v>
          </cell>
          <cell r="B161">
            <v>7795</v>
          </cell>
          <cell r="C161" t="str">
            <v>u4</v>
          </cell>
          <cell r="D161" t="str">
            <v>g32</v>
          </cell>
          <cell r="E161" t="str">
            <v>Ternary fertilizers: 1 - 1 - 2 - prices per 100 kg merchandise</v>
          </cell>
          <cell r="F161" t="str">
            <v>Ternary fertilizers: 1 - 1 - 2 - prices per 100 kg merchandise</v>
          </cell>
          <cell r="G161" t="str">
            <v>Dreinährstoffdünger: 1 - 2 - 2</v>
          </cell>
          <cell r="H161" t="str">
            <v>Ternary fertilizers: 1 - 1 - 2 - prices per 100 kg merchandise</v>
          </cell>
          <cell r="I161" t="str">
            <v>Ternary fertilizers: 1 - 1 - 2 - prices per 100 kg merchandise</v>
          </cell>
          <cell r="J161" t="str">
            <v>Ternary fertilizers: 1 - 1 - 2 - prices per 100 kg merchandise</v>
          </cell>
          <cell r="K161" t="str">
            <v>Ternary fertilizers: 1 - 1 - 2 - prices per 100 kg merchandise</v>
          </cell>
          <cell r="L161" t="str">
            <v>Ternary fertilizers: 1 - 1 - 2 - prices per 100 kg merchandise</v>
          </cell>
          <cell r="M161" t="str">
            <v>Engrais ternaires: 1 - 1 - 2</v>
          </cell>
          <cell r="N161" t="str">
            <v>Ternary fertilizers: 1 - 1 - 2 - prices per 100 kg merchandise</v>
          </cell>
          <cell r="O161" t="str">
            <v>Ternary fertilizers: 1 - 1 - 2 - prices per 100 kg merchandise</v>
          </cell>
          <cell r="P161" t="str">
            <v>Ternary fertilizers: 1 - 1 - 2 - prices per 100 kg merchandise</v>
          </cell>
          <cell r="Q161" t="str">
            <v>Ternary fertilizers: 1 - 1 - 2 - prices per 100 kg merchandise</v>
          </cell>
          <cell r="R161" t="str">
            <v>Ternary fertilizers: 1 - 1 - 2 - prices per 100 kg merchandise</v>
          </cell>
          <cell r="S161" t="str">
            <v>Ternary fertilizers: 1 - 1 - 2 - prices per 100 kg merchandise</v>
          </cell>
          <cell r="T161" t="str">
            <v>Ternary fertilizers: 1 - 1 - 2 - prices per 100 kg merchandise</v>
          </cell>
          <cell r="U161" t="str">
            <v>Ternary fertilizers: 1 - 1 - 2 - prices per 100 kg merchandise</v>
          </cell>
          <cell r="V161" t="str">
            <v>Ternary fertilizers: 1 - 1 - 2 - prices per 100 kg merchandise</v>
          </cell>
          <cell r="W161" t="str">
            <v>Ternary fertilizers: 1 - 1 - 2 - prices per 100 kg merchandise</v>
          </cell>
          <cell r="X161" t="str">
            <v>Ternary fertilizers: 1 - 1 - 2 - prices per 100 kg merchandise</v>
          </cell>
        </row>
        <row r="162">
          <cell r="A162">
            <v>20323800</v>
          </cell>
          <cell r="B162">
            <v>7755</v>
          </cell>
          <cell r="C162" t="str">
            <v>u4</v>
          </cell>
          <cell r="D162" t="str">
            <v>g32</v>
          </cell>
          <cell r="E162" t="str">
            <v>Ternary fertilizers: 9 - 9 - 18 - prices per 100 kg merchandise</v>
          </cell>
          <cell r="F162" t="str">
            <v>Ternary fertilizers: 9 - 9 - 18 - prices per 100 kg merchandise</v>
          </cell>
          <cell r="G162" t="str">
            <v>Dreinährstoffdünger: 9 - 9 - 18</v>
          </cell>
          <cell r="H162" t="str">
            <v>Ternary fertilizers: 9 - 9 - 18 - prices per 100 kg merchandise</v>
          </cell>
          <cell r="I162" t="str">
            <v>Ternary fertilizers: 9 - 9 - 18 - prices per 100 kg merchandise</v>
          </cell>
          <cell r="J162" t="str">
            <v>Ternary fertilizers: 9 - 9 - 18 - prices per 100 kg merchandise</v>
          </cell>
          <cell r="K162" t="str">
            <v>Ternary fertilizers: 9 - 9 - 18 - prices per 100 kg merchandise</v>
          </cell>
          <cell r="L162" t="str">
            <v>Ternary fertilizers: 9 - 9 - 18 - prices per 100 kg merchandise</v>
          </cell>
          <cell r="M162" t="str">
            <v>Engrais ternaires: 9 - 9 - 18</v>
          </cell>
          <cell r="N162" t="str">
            <v>Ternary fertilizers: 9 - 9 - 18 - prices per 100 kg merchandise</v>
          </cell>
          <cell r="O162" t="str">
            <v>Ternary fertilizers: 9 - 9 - 18 - prices per 100 kg merchandise</v>
          </cell>
          <cell r="P162" t="str">
            <v>Ternary fertilizers: 9 - 9 - 18 - prices per 100 kg merchandise</v>
          </cell>
          <cell r="Q162" t="str">
            <v>Ternary fertilizers: 9 - 9 - 18 - prices per 100 kg merchandise</v>
          </cell>
          <cell r="R162" t="str">
            <v>Ternary fertilizers: 9 - 9 - 18 - prices per 100 kg merchandise</v>
          </cell>
          <cell r="S162" t="str">
            <v>Ternary fertilizers: 9 - 9 - 18 - prices per 100 kg merchandise</v>
          </cell>
          <cell r="T162" t="str">
            <v>Ternary fertilizers: 9 - 9 - 18 - prices per 100 kg merchandise</v>
          </cell>
          <cell r="U162" t="str">
            <v>Ternary fertilizers: 9 - 9 - 18 - prices per 100 kg merchandise</v>
          </cell>
          <cell r="V162" t="str">
            <v>Ternary fertilizers: 9 - 9 - 18 - prices per 100 kg merchandise</v>
          </cell>
          <cell r="W162" t="str">
            <v>Ternary fertilizers: 9 - 9 - 18 - prices per 100 kg merchandise</v>
          </cell>
          <cell r="X162" t="str">
            <v>Ternary fertilizers: 9 - 9 - 18 - prices per 100 kg merchandise</v>
          </cell>
        </row>
        <row r="163">
          <cell r="A163">
            <v>20323400</v>
          </cell>
          <cell r="B163">
            <v>7780</v>
          </cell>
          <cell r="C163" t="str">
            <v>u4</v>
          </cell>
          <cell r="D163" t="str">
            <v>g32</v>
          </cell>
          <cell r="E163" t="str">
            <v>Ternary fertilizers: 1 - 2 - 2 - prices per 100 kg merchandise</v>
          </cell>
          <cell r="F163" t="str">
            <v>Ternary fertilizers: 1 - 2 - 2 - prices per 100 kg merchandise</v>
          </cell>
          <cell r="G163" t="str">
            <v>Dreinährstoffdünger: 1 - 1 - 2</v>
          </cell>
          <cell r="H163" t="str">
            <v>Ternary fertilizers: 1 - 2 - 2 - prices per 100 kg merchandise</v>
          </cell>
          <cell r="I163" t="str">
            <v>Ternary fertilizers: 1 - 2 - 2 - prices per 100 kg merchandise</v>
          </cell>
          <cell r="J163" t="str">
            <v>Ternary fertilizers: 1 - 2 - 2 - prices per 100 kg merchandise</v>
          </cell>
          <cell r="K163" t="str">
            <v>Ternary fertilizers: 1 - 2 - 2 - prices per 100 kg merchandise</v>
          </cell>
          <cell r="L163" t="str">
            <v>Ternary fertilizers: 1 - 2 - 2 - prices per 100 kg merchandise</v>
          </cell>
          <cell r="M163" t="str">
            <v>Engrais ternaires: 1 - 2 - 2</v>
          </cell>
          <cell r="N163" t="str">
            <v>Ternary fertilizers: 1 - 2 - 2 - prices per 100 kg merchandise</v>
          </cell>
          <cell r="O163" t="str">
            <v>Ternary fertilizers: 1 - 2 - 2 - prices per 100 kg merchandise</v>
          </cell>
          <cell r="P163" t="str">
            <v>Ternary fertilizers: 1 - 2 - 2 - prices per 100 kg merchandise</v>
          </cell>
          <cell r="Q163" t="str">
            <v>Ternary fertilizers: 1 - 2 - 2 - prices per 100 kg merchandise</v>
          </cell>
          <cell r="R163" t="str">
            <v>Ternary fertilizers: 1 - 2 - 2 - prices per 100 kg merchandise</v>
          </cell>
          <cell r="S163" t="str">
            <v>Ternary fertilizers: 1 - 2 - 2 - prices per 100 kg merchandise</v>
          </cell>
          <cell r="T163" t="str">
            <v>Ternary fertilizers: 1 - 2 - 2 - prices per 100 kg merchandise</v>
          </cell>
          <cell r="U163" t="str">
            <v>Ternary fertilizers: 1 - 2 - 2 - prices per 100 kg merchandise</v>
          </cell>
          <cell r="V163" t="str">
            <v>Ternary fertilizers: 1 - 2 - 2 - prices per 100 kg merchandise</v>
          </cell>
          <cell r="W163" t="str">
            <v>Ternary fertilizers: 1 - 2 - 2 - prices per 100 kg merchandise</v>
          </cell>
          <cell r="X163" t="str">
            <v>Ternary fertilizers: 1 - 2 - 2 - prices per 100 kg merchandise</v>
          </cell>
        </row>
        <row r="164">
          <cell r="A164">
            <v>20323500</v>
          </cell>
          <cell r="B164">
            <v>7785</v>
          </cell>
          <cell r="C164" t="str">
            <v>u4</v>
          </cell>
          <cell r="D164" t="str">
            <v>g32</v>
          </cell>
          <cell r="E164" t="str">
            <v>Ternary fertilizers: 10 - 20 - 20 - prices per 100 kg merchandise</v>
          </cell>
          <cell r="F164" t="str">
            <v>Ternary fertilizers: 10 - 20 - 20 - prices per 100 kg merchandise</v>
          </cell>
          <cell r="G164" t="str">
            <v>Dreinährstoffdünger: 10 - 20 - 20</v>
          </cell>
          <cell r="H164" t="str">
            <v>Ternary fertilizers: 10 - 20 - 20 - prices per 100 kg merchandise</v>
          </cell>
          <cell r="I164" t="str">
            <v>Ternary fertilizers: 10 - 20 - 20 - prices per 100 kg merchandise</v>
          </cell>
          <cell r="J164" t="str">
            <v>Ternary fertilizers: 10 - 20 - 20 - prices per 100 kg merchandise</v>
          </cell>
          <cell r="K164" t="str">
            <v>Ternary fertilizers: 10 - 20 - 20 - prices per 100 kg merchandise</v>
          </cell>
          <cell r="L164" t="str">
            <v>Ternary fertilizers: 10 - 20 - 20 - prices per 100 kg merchandise</v>
          </cell>
          <cell r="M164" t="str">
            <v>Engrais ternaires: 10 - 20 - 20</v>
          </cell>
          <cell r="N164" t="str">
            <v>Ternary fertilizers: 10 - 20 - 20 - prices per 100 kg merchandise</v>
          </cell>
          <cell r="O164" t="str">
            <v>Ternary fertilizers: 10 - 20 - 20 - prices per 100 kg merchandise</v>
          </cell>
          <cell r="P164" t="str">
            <v>Ternary fertilizers: 10 - 20 - 20 - prices per 100 kg merchandise</v>
          </cell>
          <cell r="Q164" t="str">
            <v>Ternary fertilizers: 10 - 20 - 20 - prices per 100 kg merchandise</v>
          </cell>
          <cell r="R164" t="str">
            <v>Ternary fertilizers: 10 - 20 - 20 - prices per 100 kg merchandise</v>
          </cell>
          <cell r="S164" t="str">
            <v>Ternary fertilizers: 10 - 20 - 20 - prices per 100 kg merchandise</v>
          </cell>
          <cell r="T164" t="str">
            <v>Ternary fertilizers: 10 - 20 - 20 - prices per 100 kg merchandise</v>
          </cell>
          <cell r="U164" t="str">
            <v>Ternary fertilizers: 10 - 20 - 20 - prices per 100 kg merchandise</v>
          </cell>
          <cell r="V164" t="str">
            <v>Ternary fertilizers: 10 - 20 - 20 - prices per 100 kg merchandise</v>
          </cell>
          <cell r="W164" t="str">
            <v>Ternary fertilizers: 10 - 20 - 20 - prices per 100 kg merchandise</v>
          </cell>
          <cell r="X164" t="str">
            <v>Ternary fertilizers: 10 - 20 - 20 - prices per 100 kg merchandise</v>
          </cell>
        </row>
        <row r="165">
          <cell r="A165">
            <v>20611100</v>
          </cell>
          <cell r="B165">
            <v>8041</v>
          </cell>
          <cell r="C165" t="str">
            <v>u2</v>
          </cell>
          <cell r="D165" t="str">
            <v>g6</v>
          </cell>
          <cell r="E165" t="str">
            <v>Feedingstuffs: fodder wheat - prices per 100 kg</v>
          </cell>
          <cell r="F165" t="str">
            <v>Feedingstuffs: fodder wheat - prices per 100 kg</v>
          </cell>
          <cell r="G165" t="str">
            <v>Futtermittel: Futterweizen</v>
          </cell>
          <cell r="H165" t="str">
            <v>Feedingstuffs: fodder wheat - prices per 100 kg</v>
          </cell>
          <cell r="I165" t="str">
            <v>Feedingstuffs: fodder wheat - prices per 100 kg</v>
          </cell>
          <cell r="J165" t="str">
            <v>Feedingstuffs: fodder wheat - prices per 100 kg</v>
          </cell>
          <cell r="K165" t="str">
            <v>Feedingstuffs: fodder wheat - prices per 100 kg</v>
          </cell>
          <cell r="L165" t="str">
            <v>Feedingstuffs: fodder wheat - prices per 100 kg</v>
          </cell>
          <cell r="M165" t="str">
            <v>Aliments: Blé fourrager</v>
          </cell>
          <cell r="N165" t="str">
            <v>Feedingstuffs: fodder wheat - prices per 100 kg</v>
          </cell>
          <cell r="O165" t="str">
            <v>Feedingstuffs: fodder wheat - prices per 100 kg</v>
          </cell>
          <cell r="P165" t="str">
            <v>Feedingstuffs: fodder wheat - prices per 100 kg</v>
          </cell>
          <cell r="Q165" t="str">
            <v>Feedingstuffs: fodder wheat - prices per 100 kg</v>
          </cell>
          <cell r="R165" t="str">
            <v>Feedingstuffs: fodder wheat - prices per 100 kg</v>
          </cell>
          <cell r="S165" t="str">
            <v>Feedingstuffs: fodder wheat - prices per 100 kg</v>
          </cell>
          <cell r="T165" t="str">
            <v>Feedingstuffs: fodder wheat - prices per 100 kg</v>
          </cell>
          <cell r="U165" t="str">
            <v>Feedingstuffs: fodder wheat - prices per 100 kg</v>
          </cell>
          <cell r="V165" t="str">
            <v>Feedingstuffs: fodder wheat - prices per 100 kg</v>
          </cell>
          <cell r="W165" t="str">
            <v>Feedingstuffs: fodder wheat - prices per 100 kg</v>
          </cell>
          <cell r="X165" t="str">
            <v>Feedingstuffs: fodder wheat - prices per 100 kg</v>
          </cell>
        </row>
        <row r="166">
          <cell r="A166">
            <v>20611200</v>
          </cell>
          <cell r="B166">
            <v>8043</v>
          </cell>
          <cell r="C166" t="str">
            <v>u2</v>
          </cell>
          <cell r="D166" t="str">
            <v>g6</v>
          </cell>
          <cell r="E166" t="str">
            <v>Feedingstuffs: barley - prices per 100 kg</v>
          </cell>
          <cell r="F166" t="str">
            <v>Feedingstuffs: barley - prices per 100 kg</v>
          </cell>
          <cell r="G166" t="str">
            <v>Futtermittel: Gerste</v>
          </cell>
          <cell r="H166" t="str">
            <v>Feedingstuffs: barley - prices per 100 kg</v>
          </cell>
          <cell r="I166" t="str">
            <v>Feedingstuffs: barley - prices per 100 kg</v>
          </cell>
          <cell r="J166" t="str">
            <v>Feedingstuffs: barley - prices per 100 kg</v>
          </cell>
          <cell r="K166" t="str">
            <v>Feedingstuffs: barley - prices per 100 kg</v>
          </cell>
          <cell r="L166" t="str">
            <v>Feedingstuffs: barley - prices per 100 kg</v>
          </cell>
          <cell r="M166" t="str">
            <v>Aliments: Orge</v>
          </cell>
          <cell r="N166" t="str">
            <v>Feedingstuffs: barley - prices per 100 kg</v>
          </cell>
          <cell r="O166" t="str">
            <v>Feedingstuffs: barley - prices per 100 kg</v>
          </cell>
          <cell r="P166" t="str">
            <v>Feedingstuffs: barley - prices per 100 kg</v>
          </cell>
          <cell r="Q166" t="str">
            <v>Feedingstuffs: barley - prices per 100 kg</v>
          </cell>
          <cell r="R166" t="str">
            <v>Feedingstuffs: barley - prices per 100 kg</v>
          </cell>
          <cell r="S166" t="str">
            <v>Feedingstuffs: barley - prices per 100 kg</v>
          </cell>
          <cell r="T166" t="str">
            <v>Feedingstuffs: barley - prices per 100 kg</v>
          </cell>
          <cell r="U166" t="str">
            <v>Feedingstuffs: barley - prices per 100 kg</v>
          </cell>
          <cell r="V166" t="str">
            <v>Feedingstuffs: barley - prices per 100 kg</v>
          </cell>
          <cell r="W166" t="str">
            <v>Feedingstuffs: barley - prices per 100 kg</v>
          </cell>
          <cell r="X166" t="str">
            <v>Feedingstuffs: barley - prices per 100 kg</v>
          </cell>
        </row>
        <row r="167">
          <cell r="A167">
            <v>20611300</v>
          </cell>
          <cell r="B167">
            <v>8044</v>
          </cell>
          <cell r="C167" t="str">
            <v>u2</v>
          </cell>
          <cell r="D167" t="str">
            <v>g6</v>
          </cell>
          <cell r="E167" t="str">
            <v>Feedingstuffs: oats - prices per 100 kg</v>
          </cell>
          <cell r="F167" t="str">
            <v>Feedingstuffs: oats - prices per 100 kg</v>
          </cell>
          <cell r="G167" t="str">
            <v>Futtermittel: Hafer</v>
          </cell>
          <cell r="H167" t="str">
            <v>Feedingstuffs: oats - prices per 100 kg</v>
          </cell>
          <cell r="I167" t="str">
            <v>Feedingstuffs: oats - prices per 100 kg</v>
          </cell>
          <cell r="J167" t="str">
            <v>Feedingstuffs: oats - prices per 100 kg</v>
          </cell>
          <cell r="K167" t="str">
            <v>Feedingstuffs: oats - prices per 100 kg</v>
          </cell>
          <cell r="L167" t="str">
            <v>Feedingstuffs: oats - prices per 100 kg</v>
          </cell>
          <cell r="M167" t="str">
            <v>Aliments: Avoine</v>
          </cell>
          <cell r="N167" t="str">
            <v>Feedingstuffs: oats - prices per 100 kg</v>
          </cell>
          <cell r="O167" t="str">
            <v>Feedingstuffs: oats - prices per 100 kg</v>
          </cell>
          <cell r="P167" t="str">
            <v>Feedingstuffs: oats - prices per 100 kg</v>
          </cell>
          <cell r="Q167" t="str">
            <v>Feedingstuffs: oats - prices per 100 kg</v>
          </cell>
          <cell r="R167" t="str">
            <v>Feedingstuffs: oats - prices per 100 kg</v>
          </cell>
          <cell r="S167" t="str">
            <v>Feedingstuffs: oats - prices per 100 kg</v>
          </cell>
          <cell r="T167" t="str">
            <v>Feedingstuffs: oats - prices per 100 kg</v>
          </cell>
          <cell r="U167" t="str">
            <v>Feedingstuffs: oats - prices per 100 kg</v>
          </cell>
          <cell r="V167" t="str">
            <v>Feedingstuffs: oats - prices per 100 kg</v>
          </cell>
          <cell r="W167" t="str">
            <v>Feedingstuffs: oats - prices per 100 kg</v>
          </cell>
          <cell r="X167" t="str">
            <v>Feedingstuffs: oats - prices per 100 kg</v>
          </cell>
        </row>
        <row r="168">
          <cell r="A168">
            <v>20611400</v>
          </cell>
          <cell r="B168">
            <v>8045</v>
          </cell>
          <cell r="C168" t="str">
            <v>u2</v>
          </cell>
          <cell r="D168" t="str">
            <v>g6</v>
          </cell>
          <cell r="E168" t="str">
            <v>Feedingstuffs: maize - prices per 100 kg</v>
          </cell>
          <cell r="F168" t="str">
            <v>Feedingstuffs: maize - prices per 100 kg</v>
          </cell>
          <cell r="G168" t="str">
            <v>Futtermittel: Mais</v>
          </cell>
          <cell r="H168" t="str">
            <v>Feedingstuffs: maize - prices per 100 kg</v>
          </cell>
          <cell r="I168" t="str">
            <v>Feedingstuffs: maize - prices per 100 kg</v>
          </cell>
          <cell r="J168" t="str">
            <v>Feedingstuffs: maize - prices per 100 kg</v>
          </cell>
          <cell r="K168" t="str">
            <v>Feedingstuffs: maize - prices per 100 kg</v>
          </cell>
          <cell r="L168" t="str">
            <v>Feedingstuffs: maize - prices per 100 kg</v>
          </cell>
          <cell r="M168" t="str">
            <v>Aliments: Maïs</v>
          </cell>
          <cell r="N168" t="str">
            <v>Feedingstuffs: maize - prices per 100 kg</v>
          </cell>
          <cell r="O168" t="str">
            <v>Feedingstuffs: maize - prices per 100 kg</v>
          </cell>
          <cell r="P168" t="str">
            <v>Feedingstuffs: maize - prices per 100 kg</v>
          </cell>
          <cell r="Q168" t="str">
            <v>Feedingstuffs: maize - prices per 100 kg</v>
          </cell>
          <cell r="R168" t="str">
            <v>Feedingstuffs: maize - prices per 100 kg</v>
          </cell>
          <cell r="S168" t="str">
            <v>Feedingstuffs: maize - prices per 100 kg</v>
          </cell>
          <cell r="T168" t="str">
            <v>Feedingstuffs: maize - prices per 100 kg</v>
          </cell>
          <cell r="U168" t="str">
            <v>Feedingstuffs: maize - prices per 100 kg</v>
          </cell>
          <cell r="V168" t="str">
            <v>Feedingstuffs: maize - prices per 100 kg</v>
          </cell>
          <cell r="W168" t="str">
            <v>Feedingstuffs: maize - prices per 100 kg</v>
          </cell>
          <cell r="X168" t="str">
            <v>Feedingstuffs: maize - prices per 100 kg</v>
          </cell>
        </row>
        <row r="169">
          <cell r="A169">
            <v>20611500</v>
          </cell>
          <cell r="B169">
            <v>8052</v>
          </cell>
          <cell r="C169" t="str">
            <v>u2</v>
          </cell>
          <cell r="D169" t="str">
            <v>g6</v>
          </cell>
          <cell r="E169" t="str">
            <v>Feedingstuffs: wheat bran - prices per 100 kg</v>
          </cell>
          <cell r="F169" t="str">
            <v>Feedingstuffs: wheat bran - prices per 100 kg</v>
          </cell>
          <cell r="G169" t="str">
            <v>Futtermittel: Weizenkleie</v>
          </cell>
          <cell r="H169" t="str">
            <v>Feedingstuffs: wheat bran - prices per 100 kg</v>
          </cell>
          <cell r="I169" t="str">
            <v>Feedingstuffs: wheat bran - prices per 100 kg</v>
          </cell>
          <cell r="J169" t="str">
            <v>Feedingstuffs: wheat bran - prices per 100 kg</v>
          </cell>
          <cell r="K169" t="str">
            <v>Feedingstuffs: wheat bran - prices per 100 kg</v>
          </cell>
          <cell r="L169" t="str">
            <v>Feedingstuffs: wheat bran - prices per 100 kg</v>
          </cell>
          <cell r="M169" t="str">
            <v>Aliments: Son de blé</v>
          </cell>
          <cell r="N169" t="str">
            <v>Feedingstuffs: wheat bran - prices per 100 kg</v>
          </cell>
          <cell r="O169" t="str">
            <v>Feedingstuffs: wheat bran - prices per 100 kg</v>
          </cell>
          <cell r="P169" t="str">
            <v>Feedingstuffs: wheat bran - prices per 100 kg</v>
          </cell>
          <cell r="Q169" t="str">
            <v>Feedingstuffs: wheat bran - prices per 100 kg</v>
          </cell>
          <cell r="R169" t="str">
            <v>Feedingstuffs: wheat bran - prices per 100 kg</v>
          </cell>
          <cell r="S169" t="str">
            <v>Feedingstuffs: wheat bran - prices per 100 kg</v>
          </cell>
          <cell r="T169" t="str">
            <v>Feedingstuffs: wheat bran - prices per 100 kg</v>
          </cell>
          <cell r="U169" t="str">
            <v>Feedingstuffs: wheat bran - prices per 100 kg</v>
          </cell>
          <cell r="V169" t="str">
            <v>Feedingstuffs: wheat bran - prices per 100 kg</v>
          </cell>
          <cell r="W169" t="str">
            <v>Feedingstuffs: wheat bran - prices per 100 kg</v>
          </cell>
          <cell r="X169" t="str">
            <v>Feedingstuffs: wheat bran - prices per 100 kg</v>
          </cell>
        </row>
        <row r="170">
          <cell r="A170">
            <v>20611600</v>
          </cell>
          <cell r="B170">
            <v>8054</v>
          </cell>
          <cell r="C170" t="str">
            <v>u2</v>
          </cell>
          <cell r="D170" t="str">
            <v>g6</v>
          </cell>
          <cell r="E170" t="str">
            <v>Feedingstuffs: ground barley - prices per 100 kg</v>
          </cell>
          <cell r="F170" t="str">
            <v>Feedingstuffs: ground barley - prices per 100 kg</v>
          </cell>
          <cell r="G170" t="str">
            <v>Futtermittel: Gerste - gemahlen</v>
          </cell>
          <cell r="H170" t="str">
            <v>Feedingstuffs: ground barley - prices per 100 kg</v>
          </cell>
          <cell r="I170" t="str">
            <v>Feedingstuffs: ground barley - prices per 100 kg</v>
          </cell>
          <cell r="J170" t="str">
            <v>Feedingstuffs: ground barley - prices per 100 kg</v>
          </cell>
          <cell r="K170" t="str">
            <v>Feedingstuffs: ground barley - prices per 100 kg</v>
          </cell>
          <cell r="L170" t="str">
            <v>Feedingstuffs: ground barley - prices per 100 kg</v>
          </cell>
          <cell r="M170" t="str">
            <v>Aliments: Orge moulue</v>
          </cell>
          <cell r="N170" t="str">
            <v>Feedingstuffs: ground barley - prices per 100 kg</v>
          </cell>
          <cell r="O170" t="str">
            <v>Feedingstuffs: ground barley - prices per 100 kg</v>
          </cell>
          <cell r="P170" t="str">
            <v>Feedingstuffs: ground barley - prices per 100 kg</v>
          </cell>
          <cell r="Q170" t="str">
            <v>Feedingstuffs: ground barley - prices per 100 kg</v>
          </cell>
          <cell r="R170" t="str">
            <v>Feedingstuffs: ground barley - prices per 100 kg</v>
          </cell>
          <cell r="S170" t="str">
            <v>Feedingstuffs: ground barley - prices per 100 kg</v>
          </cell>
          <cell r="T170" t="str">
            <v>Feedingstuffs: ground barley - prices per 100 kg</v>
          </cell>
          <cell r="U170" t="str">
            <v>Feedingstuffs: ground barley - prices per 100 kg</v>
          </cell>
          <cell r="V170" t="str">
            <v>Feedingstuffs: ground barley - prices per 100 kg</v>
          </cell>
          <cell r="W170" t="str">
            <v>Feedingstuffs: ground barley - prices per 100 kg</v>
          </cell>
          <cell r="X170" t="str">
            <v>Feedingstuffs: ground barley - prices per 100 kg</v>
          </cell>
        </row>
        <row r="171">
          <cell r="A171">
            <v>20611700</v>
          </cell>
          <cell r="B171">
            <v>8056</v>
          </cell>
          <cell r="C171" t="str">
            <v>u2</v>
          </cell>
          <cell r="D171" t="str">
            <v>g6</v>
          </cell>
          <cell r="E171" t="str">
            <v>Feedingstuffs: ground maize - prices per 100 kg</v>
          </cell>
          <cell r="F171" t="str">
            <v>Feedingstuffs: ground maize - prices per 100 kg</v>
          </cell>
          <cell r="G171" t="str">
            <v>Futtermittel: Mais - gemahlen</v>
          </cell>
          <cell r="H171" t="str">
            <v>Feedingstuffs: ground maize - prices per 100 kg</v>
          </cell>
          <cell r="I171" t="str">
            <v>Feedingstuffs: ground maize - prices per 100 kg</v>
          </cell>
          <cell r="J171" t="str">
            <v>Feedingstuffs: ground maize - prices per 100 kg</v>
          </cell>
          <cell r="K171" t="str">
            <v>Feedingstuffs: ground maize - prices per 100 kg</v>
          </cell>
          <cell r="L171" t="str">
            <v>Feedingstuffs: ground maize - prices per 100 kg</v>
          </cell>
          <cell r="M171" t="str">
            <v>Aliments: Maïs moulu</v>
          </cell>
          <cell r="N171" t="str">
            <v>Feedingstuffs: ground maize - prices per 100 kg</v>
          </cell>
          <cell r="O171" t="str">
            <v>Feedingstuffs: ground maize - prices per 100 kg</v>
          </cell>
          <cell r="P171" t="str">
            <v>Feedingstuffs: ground maize - prices per 100 kg</v>
          </cell>
          <cell r="Q171" t="str">
            <v>Feedingstuffs: ground maize - prices per 100 kg</v>
          </cell>
          <cell r="R171" t="str">
            <v>Feedingstuffs: ground maize - prices per 100 kg</v>
          </cell>
          <cell r="S171" t="str">
            <v>Feedingstuffs: ground maize - prices per 100 kg</v>
          </cell>
          <cell r="T171" t="str">
            <v>Feedingstuffs: ground maize - prices per 100 kg</v>
          </cell>
          <cell r="U171" t="str">
            <v>Feedingstuffs: ground maize - prices per 100 kg</v>
          </cell>
          <cell r="V171" t="str">
            <v>Feedingstuffs: ground maize - prices per 100 kg</v>
          </cell>
          <cell r="W171" t="str">
            <v>Feedingstuffs: ground maize - prices per 100 kg</v>
          </cell>
          <cell r="X171" t="str">
            <v>Feedingstuffs: ground maize - prices per 100 kg</v>
          </cell>
        </row>
        <row r="172">
          <cell r="A172">
            <v>20612100</v>
          </cell>
          <cell r="B172">
            <v>8075</v>
          </cell>
          <cell r="C172" t="str">
            <v>u2</v>
          </cell>
          <cell r="D172" t="str">
            <v>g34</v>
          </cell>
          <cell r="E172" t="str">
            <v>Linseed cake (expeller) - prices per 100 kg</v>
          </cell>
          <cell r="F172" t="str">
            <v>Linseed cake (expeller) - prices per 100 kg</v>
          </cell>
          <cell r="G172" t="str">
            <v>Leinkuchen (gepreßt)</v>
          </cell>
          <cell r="H172" t="str">
            <v>Linseed cake (expeller) - prices per 100 kg</v>
          </cell>
          <cell r="I172" t="str">
            <v>Linseed cake (expeller) - prices per 100 kg</v>
          </cell>
          <cell r="J172" t="str">
            <v>Linseed cake (expeller) - prices per 100 kg</v>
          </cell>
          <cell r="K172" t="str">
            <v>Linseed cake (expeller) - prices per 100 kg</v>
          </cell>
          <cell r="L172" t="str">
            <v>Linseed cake (expeller) - prices per 100 kg</v>
          </cell>
          <cell r="M172" t="str">
            <v>Tourteaux de pression de lin</v>
          </cell>
          <cell r="N172" t="str">
            <v>Linseed cake (expeller) - prices per 100 kg</v>
          </cell>
          <cell r="O172" t="str">
            <v>Linseed cake (expeller) - prices per 100 kg</v>
          </cell>
          <cell r="P172" t="str">
            <v>Linseed cake (expeller) - prices per 100 kg</v>
          </cell>
          <cell r="Q172" t="str">
            <v>Linseed cake (expeller) - prices per 100 kg</v>
          </cell>
          <cell r="R172" t="str">
            <v>Linseed cake (expeller) - prices per 100 kg</v>
          </cell>
          <cell r="S172" t="str">
            <v>Linseed cake (expeller) - prices per 100 kg</v>
          </cell>
          <cell r="T172" t="str">
            <v>Linseed cake (expeller) - prices per 100 kg</v>
          </cell>
          <cell r="U172" t="str">
            <v>Linseed cake (expeller) - prices per 100 kg</v>
          </cell>
          <cell r="V172" t="str">
            <v>Linseed cake (expeller) - prices per 100 kg</v>
          </cell>
          <cell r="W172" t="str">
            <v>Linseed cake (expeller) - prices per 100 kg</v>
          </cell>
          <cell r="X172" t="str">
            <v>Linseed cake (expeller) - prices per 100 kg</v>
          </cell>
        </row>
        <row r="173">
          <cell r="A173">
            <v>20612200</v>
          </cell>
          <cell r="B173">
            <v>8079</v>
          </cell>
          <cell r="C173" t="str">
            <v>u2</v>
          </cell>
          <cell r="D173" t="str">
            <v>g34</v>
          </cell>
          <cell r="E173" t="str">
            <v>Toasted extracted soyabean meal - prices per 100 kg</v>
          </cell>
          <cell r="F173" t="str">
            <v>Toasted extracted soyabean meal - prices per 100 kg</v>
          </cell>
          <cell r="G173" t="str">
            <v>Sojaextraktionsschrot (getoastet)</v>
          </cell>
          <cell r="H173" t="str">
            <v>Toasted extracted soyabean meal - prices per 100 kg</v>
          </cell>
          <cell r="I173" t="str">
            <v>Toasted extracted soyabean meal - prices per 100 kg</v>
          </cell>
          <cell r="J173" t="str">
            <v>Toasted extracted soyabean meal - prices per 100 kg</v>
          </cell>
          <cell r="K173" t="str">
            <v>Toasted extracted soyabean meal - prices per 100 kg</v>
          </cell>
          <cell r="L173" t="str">
            <v>Toasted extracted soyabean meal - prices per 100 kg</v>
          </cell>
          <cell r="M173" t="str">
            <v>Tourteaux d'extraction de soja cuit</v>
          </cell>
          <cell r="N173" t="str">
            <v>Toasted extracted soyabean meal - prices per 100 kg</v>
          </cell>
          <cell r="O173" t="str">
            <v>Toasted extracted soyabean meal - prices per 100 kg</v>
          </cell>
          <cell r="P173" t="str">
            <v>Toasted extracted soyabean meal - prices per 100 kg</v>
          </cell>
          <cell r="Q173" t="str">
            <v>Toasted extracted soyabean meal - prices per 100 kg</v>
          </cell>
          <cell r="R173" t="str">
            <v>Toasted extracted soyabean meal - prices per 100 kg</v>
          </cell>
          <cell r="S173" t="str">
            <v>Toasted extracted soyabean meal - prices per 100 kg</v>
          </cell>
          <cell r="T173" t="str">
            <v>Toasted extracted soyabean meal - prices per 100 kg</v>
          </cell>
          <cell r="U173" t="str">
            <v>Toasted extracted soyabean meal - prices per 100 kg</v>
          </cell>
          <cell r="V173" t="str">
            <v>Toasted extracted soyabean meal - prices per 100 kg</v>
          </cell>
          <cell r="W173" t="str">
            <v>Toasted extracted soyabean meal - prices per 100 kg</v>
          </cell>
          <cell r="X173" t="str">
            <v>Toasted extracted soyabean meal - prices per 100 kg</v>
          </cell>
        </row>
        <row r="174">
          <cell r="A174">
            <v>20613100</v>
          </cell>
          <cell r="B174">
            <v>8120</v>
          </cell>
          <cell r="C174" t="str">
            <v>u2</v>
          </cell>
          <cell r="D174" t="str">
            <v>g63</v>
          </cell>
          <cell r="E174" t="str">
            <v>Animal meal - prices per 100 kg</v>
          </cell>
          <cell r="F174" t="str">
            <v>Animal meal - prices per 100 kg</v>
          </cell>
          <cell r="G174" t="str">
            <v>Tiermehl</v>
          </cell>
          <cell r="H174" t="str">
            <v>Animal meal - prices per 100 kg</v>
          </cell>
          <cell r="I174" t="str">
            <v>Animal meal - prices per 100 kg</v>
          </cell>
          <cell r="J174" t="str">
            <v>Animal meal - prices per 100 kg</v>
          </cell>
          <cell r="K174" t="str">
            <v>Animal meal - prices per 100 kg</v>
          </cell>
          <cell r="L174" t="str">
            <v>Animal meal - prices per 100 kg</v>
          </cell>
          <cell r="M174" t="str">
            <v>Farine animale</v>
          </cell>
          <cell r="N174" t="str">
            <v>Animal meal - prices per 100 kg</v>
          </cell>
          <cell r="O174" t="str">
            <v>Animal meal - prices per 100 kg</v>
          </cell>
          <cell r="P174" t="str">
            <v>Animal meal - prices per 100 kg</v>
          </cell>
          <cell r="Q174" t="str">
            <v>Animal meal - prices per 100 kg</v>
          </cell>
          <cell r="R174" t="str">
            <v>Animal meal - prices per 100 kg</v>
          </cell>
          <cell r="S174" t="str">
            <v>Animal meal - prices per 100 kg</v>
          </cell>
          <cell r="T174" t="str">
            <v>Animal meal - prices per 100 kg</v>
          </cell>
          <cell r="U174" t="str">
            <v>Animal meal - prices per 100 kg</v>
          </cell>
          <cell r="V174" t="str">
            <v>Animal meal - prices per 100 kg</v>
          </cell>
          <cell r="W174" t="str">
            <v>Animal meal - prices per 100 kg</v>
          </cell>
          <cell r="X174" t="str">
            <v>Animal meal - prices per 100 kg</v>
          </cell>
        </row>
        <row r="175">
          <cell r="A175">
            <v>20613200</v>
          </cell>
          <cell r="B175">
            <v>8125</v>
          </cell>
          <cell r="C175" t="str">
            <v>u2</v>
          </cell>
          <cell r="D175" t="str">
            <v>g63</v>
          </cell>
          <cell r="E175" t="str">
            <v>Fish meal - prices per 100 kg</v>
          </cell>
          <cell r="F175" t="str">
            <v>Fish meal - prices per 100 kg</v>
          </cell>
          <cell r="G175" t="str">
            <v>Fischmehl</v>
          </cell>
          <cell r="H175" t="str">
            <v>Fish meal - prices per 100 kg</v>
          </cell>
          <cell r="I175" t="str">
            <v>Fish meal - prices per 100 kg</v>
          </cell>
          <cell r="J175" t="str">
            <v>Fish meal - prices per 100 kg</v>
          </cell>
          <cell r="K175" t="str">
            <v>Fish meal - prices per 100 kg</v>
          </cell>
          <cell r="L175" t="str">
            <v>Fish meal - prices per 100 kg</v>
          </cell>
          <cell r="M175" t="str">
            <v>Farine de poisson</v>
          </cell>
          <cell r="N175" t="str">
            <v>Fish meal - prices per 100 kg</v>
          </cell>
          <cell r="O175" t="str">
            <v>Fish meal - prices per 100 kg</v>
          </cell>
          <cell r="P175" t="str">
            <v>Fish meal - prices per 100 kg</v>
          </cell>
          <cell r="Q175" t="str">
            <v>Fish meal - prices per 100 kg</v>
          </cell>
          <cell r="R175" t="str">
            <v>Fish meal - prices per 100 kg</v>
          </cell>
          <cell r="S175" t="str">
            <v>Fish meal - prices per 100 kg</v>
          </cell>
          <cell r="T175" t="str">
            <v>Fish meal - prices per 100 kg</v>
          </cell>
          <cell r="U175" t="str">
            <v>Fish meal - prices per 100 kg</v>
          </cell>
          <cell r="V175" t="str">
            <v>Fish meal - prices per 100 kg</v>
          </cell>
          <cell r="W175" t="str">
            <v>Fish meal - prices per 100 kg</v>
          </cell>
          <cell r="X175" t="str">
            <v>Fish meal - prices per 100 kg</v>
          </cell>
        </row>
        <row r="176">
          <cell r="A176">
            <v>20619100</v>
          </cell>
          <cell r="B176">
            <v>8153</v>
          </cell>
          <cell r="C176" t="str">
            <v>u2</v>
          </cell>
          <cell r="D176" t="str">
            <v>g54</v>
          </cell>
          <cell r="E176" t="str">
            <v>Dried sugar beet pulp - prices per 100 kg</v>
          </cell>
          <cell r="F176" t="str">
            <v>Dried sugar beet pulp - prices per 100 kg</v>
          </cell>
          <cell r="G176" t="str">
            <v>Diffusionsschnitzel - getrocknet</v>
          </cell>
          <cell r="H176" t="str">
            <v>Dried sugar beet pulp - prices per 100 kg</v>
          </cell>
          <cell r="I176" t="str">
            <v>Dried sugar beet pulp - prices per 100 kg</v>
          </cell>
          <cell r="J176" t="str">
            <v>Dried sugar beet pulp - prices per 100 kg</v>
          </cell>
          <cell r="K176" t="str">
            <v>Dried sugar beet pulp - prices per 100 kg</v>
          </cell>
          <cell r="L176" t="str">
            <v>Dried sugar beet pulp - prices per 100 kg</v>
          </cell>
          <cell r="M176" t="str">
            <v>Pulpes séchées de betteraves sucrières</v>
          </cell>
          <cell r="N176" t="str">
            <v>Dried sugar beet pulp - prices per 100 kg</v>
          </cell>
          <cell r="O176" t="str">
            <v>Dried sugar beet pulp - prices per 100 kg</v>
          </cell>
          <cell r="P176" t="str">
            <v>Dried sugar beet pulp - prices per 100 kg</v>
          </cell>
          <cell r="Q176" t="str">
            <v>Dried sugar beet pulp - prices per 100 kg</v>
          </cell>
          <cell r="R176" t="str">
            <v>Dried sugar beet pulp - prices per 100 kg</v>
          </cell>
          <cell r="S176" t="str">
            <v>Dried sugar beet pulp - prices per 100 kg</v>
          </cell>
          <cell r="T176" t="str">
            <v>Dried sugar beet pulp - prices per 100 kg</v>
          </cell>
          <cell r="U176" t="str">
            <v>Dried sugar beet pulp - prices per 100 kg</v>
          </cell>
          <cell r="V176" t="str">
            <v>Dried sugar beet pulp - prices per 100 kg</v>
          </cell>
          <cell r="W176" t="str">
            <v>Dried sugar beet pulp - prices per 100 kg</v>
          </cell>
          <cell r="X176" t="str">
            <v>Dried sugar beet pulp - prices per 100 kg</v>
          </cell>
        </row>
        <row r="177">
          <cell r="A177">
            <v>20619200</v>
          </cell>
          <cell r="B177">
            <v>8171</v>
          </cell>
          <cell r="C177" t="str">
            <v>u2</v>
          </cell>
          <cell r="D177" t="str">
            <v>g54</v>
          </cell>
          <cell r="E177" t="str">
            <v>Meadow hay - prices per 100 kg</v>
          </cell>
          <cell r="F177" t="str">
            <v>Meadow hay - prices per 100 kg</v>
          </cell>
          <cell r="G177" t="str">
            <v>Wiesenheu</v>
          </cell>
          <cell r="H177" t="str">
            <v>Meadow hay - prices per 100 kg</v>
          </cell>
          <cell r="I177" t="str">
            <v>Meadow hay - prices per 100 kg</v>
          </cell>
          <cell r="J177" t="str">
            <v>Meadow hay - prices per 100 kg</v>
          </cell>
          <cell r="K177" t="str">
            <v>Meadow hay - prices per 100 kg</v>
          </cell>
          <cell r="L177" t="str">
            <v>Meadow hay - prices per 100 kg</v>
          </cell>
          <cell r="M177" t="str">
            <v>Foin de prairie</v>
          </cell>
          <cell r="N177" t="str">
            <v>Meadow hay - prices per 100 kg</v>
          </cell>
          <cell r="O177" t="str">
            <v>Meadow hay - prices per 100 kg</v>
          </cell>
          <cell r="P177" t="str">
            <v>Meadow hay - prices per 100 kg</v>
          </cell>
          <cell r="Q177" t="str">
            <v>Meadow hay - prices per 100 kg</v>
          </cell>
          <cell r="R177" t="str">
            <v>Meadow hay - prices per 100 kg</v>
          </cell>
          <cell r="S177" t="str">
            <v>Meadow hay - prices per 100 kg</v>
          </cell>
          <cell r="T177" t="str">
            <v>Meadow hay - prices per 100 kg</v>
          </cell>
          <cell r="U177" t="str">
            <v>Meadow hay - prices per 100 kg</v>
          </cell>
          <cell r="V177" t="str">
            <v>Meadow hay - prices per 100 kg</v>
          </cell>
          <cell r="W177" t="str">
            <v>Meadow hay - prices per 100 kg</v>
          </cell>
          <cell r="X177" t="str">
            <v>Meadow hay - prices per 100 kg</v>
          </cell>
        </row>
        <row r="178">
          <cell r="A178">
            <v>20619300</v>
          </cell>
          <cell r="B178">
            <v>8175</v>
          </cell>
          <cell r="C178" t="str">
            <v>u2</v>
          </cell>
          <cell r="D178" t="str">
            <v>g54</v>
          </cell>
          <cell r="E178" t="str">
            <v>Dried lucerne - prices per 100 kg</v>
          </cell>
          <cell r="F178" t="str">
            <v>Dried lucerne - prices per 100 kg</v>
          </cell>
          <cell r="G178" t="str">
            <v>Luzerneheu</v>
          </cell>
          <cell r="H178" t="str">
            <v>Dried lucerne - prices per 100 kg</v>
          </cell>
          <cell r="I178" t="str">
            <v>Dried lucerne - prices per 100 kg</v>
          </cell>
          <cell r="J178" t="str">
            <v>Dried lucerne - prices per 100 kg</v>
          </cell>
          <cell r="K178" t="str">
            <v>Dried lucerne - prices per 100 kg</v>
          </cell>
          <cell r="L178" t="str">
            <v>Dried lucerne - prices per 100 kg</v>
          </cell>
          <cell r="M178" t="str">
            <v>Luzerne déshydratée</v>
          </cell>
          <cell r="N178" t="str">
            <v>Dried lucerne - prices per 100 kg</v>
          </cell>
          <cell r="O178" t="str">
            <v>Dried lucerne - prices per 100 kg</v>
          </cell>
          <cell r="P178" t="str">
            <v>Dried lucerne - prices per 100 kg</v>
          </cell>
          <cell r="Q178" t="str">
            <v>Dried lucerne - prices per 100 kg</v>
          </cell>
          <cell r="R178" t="str">
            <v>Dried lucerne - prices per 100 kg</v>
          </cell>
          <cell r="S178" t="str">
            <v>Dried lucerne - prices per 100 kg</v>
          </cell>
          <cell r="T178" t="str">
            <v>Dried lucerne - prices per 100 kg</v>
          </cell>
          <cell r="U178" t="str">
            <v>Dried lucerne - prices per 100 kg</v>
          </cell>
          <cell r="V178" t="str">
            <v>Dried lucerne - prices per 100 kg</v>
          </cell>
          <cell r="W178" t="str">
            <v>Dried lucerne - prices per 100 kg</v>
          </cell>
          <cell r="X178" t="str">
            <v>Dried lucerne - prices per 100 kg</v>
          </cell>
        </row>
        <row r="179">
          <cell r="A179">
            <v>20619400</v>
          </cell>
          <cell r="B179">
            <v>8180</v>
          </cell>
          <cell r="C179" t="str">
            <v>u2</v>
          </cell>
          <cell r="D179" t="str">
            <v>g54</v>
          </cell>
          <cell r="E179" t="str">
            <v>Cereal straw - prices per 100 kg</v>
          </cell>
          <cell r="F179" t="str">
            <v>Cereal straw - prices per 100 kg</v>
          </cell>
          <cell r="G179" t="str">
            <v>Getreidestroh</v>
          </cell>
          <cell r="H179" t="str">
            <v>Cereal straw - prices per 100 kg</v>
          </cell>
          <cell r="I179" t="str">
            <v>Cereal straw - prices per 100 kg</v>
          </cell>
          <cell r="J179" t="str">
            <v>Cereal straw - prices per 100 kg</v>
          </cell>
          <cell r="K179" t="str">
            <v>Cereal straw - prices per 100 kg</v>
          </cell>
          <cell r="L179" t="str">
            <v>Cereal straw - prices per 100 kg</v>
          </cell>
          <cell r="M179" t="str">
            <v>Paille de céréales</v>
          </cell>
          <cell r="N179" t="str">
            <v>Cereal straw - prices per 100 kg</v>
          </cell>
          <cell r="O179" t="str">
            <v>Cereal straw - prices per 100 kg</v>
          </cell>
          <cell r="P179" t="str">
            <v>Cereal straw - prices per 100 kg</v>
          </cell>
          <cell r="Q179" t="str">
            <v>Cereal straw - prices per 100 kg</v>
          </cell>
          <cell r="R179" t="str">
            <v>Cereal straw - prices per 100 kg</v>
          </cell>
          <cell r="S179" t="str">
            <v>Cereal straw - prices per 100 kg</v>
          </cell>
          <cell r="T179" t="str">
            <v>Cereal straw - prices per 100 kg</v>
          </cell>
          <cell r="U179" t="str">
            <v>Cereal straw - prices per 100 kg</v>
          </cell>
          <cell r="V179" t="str">
            <v>Cereal straw - prices per 100 kg</v>
          </cell>
          <cell r="W179" t="str">
            <v>Cereal straw - prices per 100 kg</v>
          </cell>
          <cell r="X179" t="str">
            <v>Cereal straw - prices per 100 kg</v>
          </cell>
        </row>
        <row r="180">
          <cell r="A180">
            <v>20621100</v>
          </cell>
          <cell r="B180">
            <v>8237</v>
          </cell>
          <cell r="C180" t="str">
            <v>u2</v>
          </cell>
          <cell r="D180" t="str">
            <v>g55</v>
          </cell>
          <cell r="E180" t="str">
            <v>Complementary feed for rearing calves - prices per 100 kg</v>
          </cell>
          <cell r="F180" t="str">
            <v>Complementary feed for rearing calves - prices per 100 kg</v>
          </cell>
          <cell r="G180" t="str">
            <v>Ergänzungsfutter für die Kälberaufzucht</v>
          </cell>
          <cell r="H180" t="str">
            <v>Complementary feed for rearing calves - prices per 100 kg</v>
          </cell>
          <cell r="I180" t="str">
            <v>Complementary feed for rearing calves - prices per 100 kg</v>
          </cell>
          <cell r="J180" t="str">
            <v>Complementary feed for rearing calves - prices per 100 kg</v>
          </cell>
          <cell r="K180" t="str">
            <v>Complementary feed for rearing calves - prices per 100 kg</v>
          </cell>
          <cell r="L180" t="str">
            <v>Complementary feed for rearing calves - prices per 100 kg</v>
          </cell>
          <cell r="M180" t="str">
            <v>Complémentaire pour veaux d'élevage (prix par 100kg)</v>
          </cell>
          <cell r="N180" t="str">
            <v>Complementary feed for rearing calves - prices per 100 kg</v>
          </cell>
          <cell r="O180" t="str">
            <v>Complementary feed for rearing calves - prices per 100 kg</v>
          </cell>
          <cell r="P180" t="str">
            <v>Complementary feed for rearing calves - prices per 100 kg</v>
          </cell>
          <cell r="Q180" t="str">
            <v>Complementary feed for rearing calves - prices per 100 kg</v>
          </cell>
          <cell r="R180" t="str">
            <v>Complementary feed for rearing calves - prices per 100 kg</v>
          </cell>
          <cell r="S180" t="str">
            <v>Complementary feed for rearing calves - prices per 100 kg</v>
          </cell>
          <cell r="T180" t="str">
            <v>Complementary feed for rearing calves - prices per 100 kg</v>
          </cell>
          <cell r="U180" t="str">
            <v>Complementary feed for rearing calves - prices per 100 kg</v>
          </cell>
          <cell r="V180" t="str">
            <v>Complementary feed for rearing calves - prices per 100 kg</v>
          </cell>
          <cell r="W180" t="str">
            <v>Complementary feed for rearing calves - prices per 100 kg</v>
          </cell>
          <cell r="X180" t="str">
            <v>Complementary feed for rearing calves - prices per 100 kg</v>
          </cell>
        </row>
        <row r="181">
          <cell r="A181">
            <v>20619901</v>
          </cell>
          <cell r="B181">
            <v>8238</v>
          </cell>
          <cell r="C181" t="str">
            <v>u2</v>
          </cell>
          <cell r="D181" t="str">
            <v>g55</v>
          </cell>
          <cell r="E181" t="str">
            <v>Milk replacer for fattening calves (in sacks) - prices per 100 kg</v>
          </cell>
          <cell r="F181" t="str">
            <v>Milk replacer for fattening calves (in sacks) - prices per 100 kg</v>
          </cell>
          <cell r="G181" t="str">
            <v>Milchaustauschfutter für Kälber (Sackware)</v>
          </cell>
          <cell r="H181" t="str">
            <v>Milk replacer for fattening calves (in sacks) - prices per 100 kg</v>
          </cell>
          <cell r="I181" t="str">
            <v>Milk replacer for fattening calves (in sacks) - prices per 100 kg</v>
          </cell>
          <cell r="J181" t="str">
            <v>Milk replacer for fattening calves (in sacks) - prices per 100 kg</v>
          </cell>
          <cell r="K181" t="str">
            <v>Milk replacer for fattening calves (in sacks) - prices per 100 kg</v>
          </cell>
          <cell r="L181" t="str">
            <v>Milk replacer for fattening calves (in sacks) - prices per 100 kg</v>
          </cell>
          <cell r="M181" t="str">
            <v>Complet d'allaitement pour veaux (en sacs)</v>
          </cell>
          <cell r="N181" t="str">
            <v>Milk replacer for fattening calves (in sacks) - prices per 100 kg</v>
          </cell>
          <cell r="O181" t="str">
            <v>Milk replacer for fattening calves (in sacks) - prices per 100 kg</v>
          </cell>
          <cell r="P181" t="str">
            <v>Milk replacer for fattening calves (in sacks) - prices per 100 kg</v>
          </cell>
          <cell r="Q181" t="str">
            <v>Milk replacer for fattening calves (in sacks) - prices per 100 kg</v>
          </cell>
          <cell r="R181" t="str">
            <v>Milk replacer for fattening calves (in sacks) - prices per 100 kg</v>
          </cell>
          <cell r="S181" t="str">
            <v>Milk replacer for fattening calves (in sacks) - prices per 100 kg</v>
          </cell>
          <cell r="T181" t="str">
            <v>Milk replacer for fattening calves (in sacks) - prices per 100 kg</v>
          </cell>
          <cell r="U181" t="str">
            <v>Milk replacer for fattening calves (in sacks) - prices per 100 kg</v>
          </cell>
          <cell r="V181" t="str">
            <v>Milk replacer for fattening calves (in sacks) - prices per 100 kg</v>
          </cell>
          <cell r="W181" t="str">
            <v>Milk replacer for fattening calves (in sacks) - prices per 100 kg</v>
          </cell>
          <cell r="X181" t="str">
            <v>Milk replacer for fattening calves (in sacks) - prices per 100 kg</v>
          </cell>
        </row>
        <row r="182">
          <cell r="A182">
            <v>20619902</v>
          </cell>
          <cell r="B182">
            <v>8233</v>
          </cell>
          <cell r="C182" t="str">
            <v>u2</v>
          </cell>
          <cell r="D182" t="str">
            <v>g12</v>
          </cell>
          <cell r="E182" t="str">
            <v>Milk replacer for fattening calves (in bulk) - prices per 100 kg</v>
          </cell>
          <cell r="F182" t="str">
            <v>Milk replacer for fattening calves (in bulk) - prices per 100 kg</v>
          </cell>
          <cell r="G182" t="str">
            <v>Milchaustauschfutter für Kälber (Schüttgut)</v>
          </cell>
          <cell r="H182" t="str">
            <v>Milk replacer for fattening calves (in bulk) - prices per 100 kg</v>
          </cell>
          <cell r="I182" t="str">
            <v>Milk replacer for fattening calves (in bulk) - prices per 100 kg</v>
          </cell>
          <cell r="J182" t="str">
            <v>Milk replacer for fattening calves (in bulk) - prices per 100 kg</v>
          </cell>
          <cell r="K182" t="str">
            <v>Milk replacer for fattening calves (in bulk) - prices per 100 kg</v>
          </cell>
          <cell r="L182" t="str">
            <v>Milk replacer for fattening calves (in bulk) - prices per 100 kg</v>
          </cell>
          <cell r="M182" t="str">
            <v>Complet d'allaitement pour veaux (en vrac)</v>
          </cell>
          <cell r="N182" t="str">
            <v>Milk replacer for fattening calves (in bulk) - prices per 100 kg</v>
          </cell>
          <cell r="O182" t="str">
            <v>Milk replacer for fattening calves (in bulk) - prices per 100 kg</v>
          </cell>
          <cell r="P182" t="str">
            <v>Milk replacer for fattening calves (in bulk) - prices per 100 kg</v>
          </cell>
          <cell r="Q182" t="str">
            <v>Milk replacer for fattening calves (in bulk) - prices per 100 kg</v>
          </cell>
          <cell r="R182" t="str">
            <v>Milk replacer for fattening calves (in bulk) - prices per 100 kg</v>
          </cell>
          <cell r="S182" t="str">
            <v>Milk replacer for fattening calves (in bulk) - prices per 100 kg</v>
          </cell>
          <cell r="T182" t="str">
            <v>Milk replacer for fattening calves (in bulk) - prices per 100 kg</v>
          </cell>
          <cell r="U182" t="str">
            <v>Milk replacer for fattening calves (in bulk) - prices per 100 kg</v>
          </cell>
          <cell r="V182" t="str">
            <v>Milk replacer for fattening calves (in bulk) - prices per 100 kg</v>
          </cell>
          <cell r="W182" t="str">
            <v>Milk replacer for fattening calves (in bulk) - prices per 100 kg</v>
          </cell>
          <cell r="X182" t="str">
            <v>Milk replacer for fattening calves (in bulk) - prices per 100 kg</v>
          </cell>
        </row>
        <row r="183">
          <cell r="A183">
            <v>20622910</v>
          </cell>
          <cell r="B183">
            <v>8263</v>
          </cell>
          <cell r="C183" t="str">
            <v>u2</v>
          </cell>
          <cell r="D183" t="str">
            <v>g13</v>
          </cell>
          <cell r="E183" t="str">
            <v>Complementary feed for dairy cattle at grass - prices per 100 kg</v>
          </cell>
          <cell r="F183" t="str">
            <v>Complementary feed for dairy cattle at grass - prices per 100 kg</v>
          </cell>
          <cell r="G183" t="str">
            <v>Ergänzungsfutter für Milchvieh bei Weidegang</v>
          </cell>
          <cell r="H183" t="str">
            <v>Complementary feed for dairy cattle at grass - prices per 100 kg</v>
          </cell>
          <cell r="I183" t="str">
            <v>Complementary feed for dairy cattle at grass - prices per 100 kg</v>
          </cell>
          <cell r="J183" t="str">
            <v>Complementary feed for dairy cattle at grass - prices per 100 kg</v>
          </cell>
          <cell r="K183" t="str">
            <v>Complementary feed for dairy cattle at grass - prices per 100 kg</v>
          </cell>
          <cell r="L183" t="str">
            <v>Complementary feed for dairy cattle at grass - prices per 100 kg</v>
          </cell>
          <cell r="M183" t="str">
            <v>Complémentaire pour veaux d'élevage</v>
          </cell>
          <cell r="N183" t="str">
            <v>Complementary feed for dairy cattle at grass - prices per 100 kg</v>
          </cell>
          <cell r="O183" t="str">
            <v>Complementary feed for dairy cattle at grass - prices per 100 kg</v>
          </cell>
          <cell r="P183" t="str">
            <v>Complementary feed for dairy cattle at grass - prices per 100 kg</v>
          </cell>
          <cell r="Q183" t="str">
            <v>Complementary feed for dairy cattle at grass - prices per 100 kg</v>
          </cell>
          <cell r="R183" t="str">
            <v>Complementary feed for dairy cattle at grass - prices per 100 kg</v>
          </cell>
          <cell r="S183" t="str">
            <v>Complementary feed for dairy cattle at grass - prices per 100 kg</v>
          </cell>
          <cell r="T183" t="str">
            <v>Complementary feed for dairy cattle at grass - prices per 100 kg</v>
          </cell>
          <cell r="U183" t="str">
            <v>Complementary feed for dairy cattle at grass - prices per 100 kg</v>
          </cell>
          <cell r="V183" t="str">
            <v>Complementary feed for dairy cattle at grass - prices per 100 kg</v>
          </cell>
          <cell r="W183" t="str">
            <v>Complementary feed for dairy cattle at grass - prices per 100 kg</v>
          </cell>
          <cell r="X183" t="str">
            <v>Complementary feed for dairy cattle at grass - prices per 100 kg</v>
          </cell>
        </row>
        <row r="184">
          <cell r="A184">
            <v>20622921</v>
          </cell>
          <cell r="B184">
            <v>8263</v>
          </cell>
          <cell r="C184" t="str">
            <v>u2</v>
          </cell>
          <cell r="D184" t="str">
            <v>g13</v>
          </cell>
          <cell r="E184" t="str">
            <v>Complementary feed for dairy cattle (stall-fed) (in sacks) - prices per 100 kg</v>
          </cell>
          <cell r="F184" t="str">
            <v>Complementary feed for dairy cattle (stall-fed) (in sacks) - prices per 100 kg</v>
          </cell>
          <cell r="G184" t="str">
            <v>Ergänzungsfutter für Milchvieh (Aufstallung) (Sackware)</v>
          </cell>
          <cell r="H184" t="str">
            <v>Complementary feed for dairy cattle (stall-fed) (in sacks) - prices per 100 kg</v>
          </cell>
          <cell r="I184" t="str">
            <v>Complementary feed for dairy cattle (stall-fed) (in sacks) - prices per 100 kg</v>
          </cell>
          <cell r="J184" t="str">
            <v>Complementary feed for dairy cattle (stall-fed) (in sacks) - prices per 100 kg</v>
          </cell>
          <cell r="K184" t="str">
            <v>Complementary feed for dairy cattle (stall-fed) (in sacks) - prices per 100 kg</v>
          </cell>
          <cell r="L184" t="str">
            <v>Complementary feed for dairy cattle (stall-fed) (in sacks) - prices per 100 kg</v>
          </cell>
          <cell r="M184" t="str">
            <v>Complémentaire pour bovins à l'engrais (en  sacs)</v>
          </cell>
          <cell r="N184" t="str">
            <v>Complementary feed for dairy cattle (stall-fed) (in sacks) - prices per 100 kg</v>
          </cell>
          <cell r="O184" t="str">
            <v>Complementary feed for dairy cattle (stall-fed) (in sacks) - prices per 100 kg</v>
          </cell>
          <cell r="P184" t="str">
            <v>Complementary feed for dairy cattle (stall-fed) (in sacks) - prices per 100 kg</v>
          </cell>
          <cell r="Q184" t="str">
            <v>Complementary feed for dairy cattle (stall-fed) (in sacks) - prices per 100 kg</v>
          </cell>
          <cell r="R184" t="str">
            <v>Complementary feed for dairy cattle (stall-fed) (in sacks) - prices per 100 kg</v>
          </cell>
          <cell r="S184" t="str">
            <v>Complementary feed for dairy cattle (stall-fed) (in sacks) - prices per 100 kg</v>
          </cell>
          <cell r="T184" t="str">
            <v>Complementary feed for dairy cattle (stall-fed) (in sacks) - prices per 100 kg</v>
          </cell>
          <cell r="U184" t="str">
            <v>Complementary feed for dairy cattle (stall-fed) (in sacks) - prices per 100 kg</v>
          </cell>
          <cell r="V184" t="str">
            <v>Complementary feed for dairy cattle (stall-fed) (in sacks) - prices per 100 kg</v>
          </cell>
          <cell r="W184" t="str">
            <v>Complementary feed for dairy cattle (stall-fed) (in sacks) - prices per 100 kg</v>
          </cell>
          <cell r="X184" t="str">
            <v>Complementary feed for dairy cattle (stall-fed) (in sacks) - prices per 100 kg</v>
          </cell>
        </row>
        <row r="185">
          <cell r="A185">
            <v>20622922</v>
          </cell>
          <cell r="B185">
            <v>8264</v>
          </cell>
          <cell r="C185" t="str">
            <v>u2</v>
          </cell>
          <cell r="D185" t="str">
            <v>g13</v>
          </cell>
          <cell r="E185" t="str">
            <v>Complementary feed for dairy cattle (stall-fed) (in bulk) - prices per 100 kg</v>
          </cell>
          <cell r="F185" t="str">
            <v>Complementary feed for dairy cattle (stall-fed) (in bulk) - prices per 100 kg</v>
          </cell>
          <cell r="G185" t="str">
            <v>Ergänzungsfutter für Milchvieh (Aufstallung) (Schüttgut)</v>
          </cell>
          <cell r="H185" t="str">
            <v>Complementary feed for dairy cattle (stall-fed) (in bulk) - prices per 100 kg</v>
          </cell>
          <cell r="I185" t="str">
            <v>Complementary feed for dairy cattle (stall-fed) (in bulk) - prices per 100 kg</v>
          </cell>
          <cell r="J185" t="str">
            <v>Complementary feed for dairy cattle (stall-fed) (in bulk) - prices per 100 kg</v>
          </cell>
          <cell r="K185" t="str">
            <v>Complementary feed for dairy cattle (stall-fed) (in bulk) - prices per 100 kg</v>
          </cell>
          <cell r="L185" t="str">
            <v>Complementary feed for dairy cattle (stall-fed) (in bulk) - prices per 100 kg</v>
          </cell>
          <cell r="M185" t="str">
            <v>Complémentaire pour bovins à l'engrais (en vrac)</v>
          </cell>
          <cell r="N185" t="str">
            <v>Complementary feed for dairy cattle (stall-fed) (in bulk) - prices per 100 kg</v>
          </cell>
          <cell r="O185" t="str">
            <v>Complementary feed for dairy cattle (stall-fed) (in bulk) - prices per 100 kg</v>
          </cell>
          <cell r="P185" t="str">
            <v>Complementary feed for dairy cattle (stall-fed) (in bulk) - prices per 100 kg</v>
          </cell>
          <cell r="Q185" t="str">
            <v>Complementary feed for dairy cattle (stall-fed) (in bulk) - prices per 100 kg</v>
          </cell>
          <cell r="R185" t="str">
            <v>Complementary feed for dairy cattle (stall-fed) (in bulk) - prices per 100 kg</v>
          </cell>
          <cell r="S185" t="str">
            <v>Complementary feed for dairy cattle (stall-fed) (in bulk) - prices per 100 kg</v>
          </cell>
          <cell r="T185" t="str">
            <v>Complementary feed for dairy cattle (stall-fed) (in bulk) - prices per 100 kg</v>
          </cell>
          <cell r="U185" t="str">
            <v>Complementary feed for dairy cattle (stall-fed) (in bulk) - prices per 100 kg</v>
          </cell>
          <cell r="V185" t="str">
            <v>Complementary feed for dairy cattle (stall-fed) (in bulk) - prices per 100 kg</v>
          </cell>
          <cell r="W185" t="str">
            <v>Complementary feed for dairy cattle (stall-fed) (in bulk) - prices per 100 kg</v>
          </cell>
          <cell r="X185" t="str">
            <v>Complementary feed for dairy cattle (stall-fed) (in bulk) - prices per 100 kg</v>
          </cell>
        </row>
        <row r="186">
          <cell r="A186">
            <v>20622931</v>
          </cell>
          <cell r="B186">
            <v>8266</v>
          </cell>
          <cell r="C186" t="str">
            <v>u2</v>
          </cell>
          <cell r="D186" t="str">
            <v>g13</v>
          </cell>
          <cell r="E186" t="str">
            <v>Protein-rich complem. feed f dairy cattle (stall-fed) (in sacks) - prices per 100 kg</v>
          </cell>
          <cell r="F186" t="str">
            <v>Protein-rich complem. feed f dairy cattle (stall-fed) (in sacks) - prices per 100 kg</v>
          </cell>
          <cell r="G186" t="str">
            <v>Eiweißreiches Ergänzungsfutter für Milchvieh (Aufstallung) (Sackware)</v>
          </cell>
          <cell r="H186" t="str">
            <v>Protein-rich complem. feed f dairy cattle (stall-fed) (in sacks) - prices per 100 kg</v>
          </cell>
          <cell r="I186" t="str">
            <v>Protein-rich complem. feed f dairy cattle (stall-fed) (in sacks) - prices per 100 kg</v>
          </cell>
          <cell r="J186" t="str">
            <v>Protein-rich complem. feed f dairy cattle (stall-fed) (in sacks) - prices per 100 kg</v>
          </cell>
          <cell r="K186" t="str">
            <v>Protein-rich complem. feed f dairy cattle (stall-fed) (in sacks) - prices per 100 kg</v>
          </cell>
          <cell r="L186" t="str">
            <v>Protein-rich complem. feed f dairy cattle (stall-fed) (in sacks) - prices per 100 kg</v>
          </cell>
          <cell r="M186" t="str">
            <v>Complémentaire riche en protéines pour  vaches laitières (en stabulation) (en sacs)</v>
          </cell>
          <cell r="N186" t="str">
            <v>Protein-rich complem. feed f dairy cattle (stall-fed) (in sacks) - prices per 100 kg</v>
          </cell>
          <cell r="O186" t="str">
            <v>Protein-rich complem. feed f dairy cattle (stall-fed) (in sacks) - prices per 100 kg</v>
          </cell>
          <cell r="P186" t="str">
            <v>Protein-rich complem. feed f dairy cattle (stall-fed) (in sacks) - prices per 100 kg</v>
          </cell>
          <cell r="Q186" t="str">
            <v>Protein-rich complem. feed f dairy cattle (stall-fed) (in sacks) - prices per 100 kg</v>
          </cell>
          <cell r="R186" t="str">
            <v>Protein-rich complem. feed f dairy cattle (stall-fed) (in sacks) - prices per 100 kg</v>
          </cell>
          <cell r="S186" t="str">
            <v>Protein-rich complem. feed f dairy cattle (stall-fed) (in sacks) - prices per 100 kg</v>
          </cell>
          <cell r="T186" t="str">
            <v>Protein-rich complem. feed f dairy cattle (stall-fed) (in sacks) - prices per 100 kg</v>
          </cell>
          <cell r="U186" t="str">
            <v>Protein-rich complem. feed f dairy cattle (stall-fed) (in sacks) - prices per 100 kg</v>
          </cell>
          <cell r="V186" t="str">
            <v>Protein-rich complem. feed f dairy cattle (stall-fed) (in sacks) - prices per 100 kg</v>
          </cell>
          <cell r="W186" t="str">
            <v>Protein-rich complem. feed f dairy cattle (stall-fed) (in sacks) - prices per 100 kg</v>
          </cell>
          <cell r="X186" t="str">
            <v>Protein-rich complem. feed f dairy cattle (stall-fed) (in sacks) - prices per 100 kg</v>
          </cell>
        </row>
        <row r="187">
          <cell r="A187">
            <v>20622932</v>
          </cell>
          <cell r="B187">
            <v>8253</v>
          </cell>
          <cell r="C187" t="str">
            <v>u2</v>
          </cell>
          <cell r="D187" t="str">
            <v>g42</v>
          </cell>
          <cell r="E187" t="str">
            <v>Protein-rich complem. feed f dairy cattle (stall-fed) (in bulk) - prices per 100 kg</v>
          </cell>
          <cell r="F187" t="str">
            <v>Protein-rich complem. feed f dairy cattle (stall-fed) (in bulk) - prices per 100 kg</v>
          </cell>
          <cell r="G187" t="str">
            <v>Eiweißreiches Ergänzungsfutter für Milchvieh (Aufstallung) (Schüttgut)</v>
          </cell>
          <cell r="H187" t="str">
            <v>Protein-rich complem. feed f dairy cattle (stall-fed) (in bulk) - prices per 100 kg</v>
          </cell>
          <cell r="I187" t="str">
            <v>Protein-rich complem. feed f dairy cattle (stall-fed) (in bulk) - prices per 100 kg</v>
          </cell>
          <cell r="J187" t="str">
            <v>Protein-rich complem. feed f dairy cattle (stall-fed) (in bulk) - prices per 100 kg</v>
          </cell>
          <cell r="K187" t="str">
            <v>Protein-rich complem. feed f dairy cattle (stall-fed) (in bulk) - prices per 100 kg</v>
          </cell>
          <cell r="L187" t="str">
            <v>Protein-rich complem. feed f dairy cattle (stall-fed) (in bulk) - prices per 100 kg</v>
          </cell>
          <cell r="M187" t="str">
            <v>Complémentaire riche en protéines pour  vaches laitières (en stabulation) (en vrac)</v>
          </cell>
          <cell r="N187" t="str">
            <v>Protein-rich complem. feed f dairy cattle (stall-fed) (in bulk) - prices per 100 kg</v>
          </cell>
          <cell r="O187" t="str">
            <v>Protein-rich complem. feed f dairy cattle (stall-fed) (in bulk) - prices per 100 kg</v>
          </cell>
          <cell r="P187" t="str">
            <v>Protein-rich complem. feed f dairy cattle (stall-fed) (in bulk) - prices per 100 kg</v>
          </cell>
          <cell r="Q187" t="str">
            <v>Protein-rich complem. feed f dairy cattle (stall-fed) (in bulk) - prices per 100 kg</v>
          </cell>
          <cell r="R187" t="str">
            <v>Protein-rich complem. feed f dairy cattle (stall-fed) (in bulk) - prices per 100 kg</v>
          </cell>
          <cell r="S187" t="str">
            <v>Protein-rich complem. feed f dairy cattle (stall-fed) (in bulk) - prices per 100 kg</v>
          </cell>
          <cell r="T187" t="str">
            <v>Protein-rich complem. feed f dairy cattle (stall-fed) (in bulk) - prices per 100 kg</v>
          </cell>
          <cell r="U187" t="str">
            <v>Protein-rich complem. feed f dairy cattle (stall-fed) (in bulk) - prices per 100 kg</v>
          </cell>
          <cell r="V187" t="str">
            <v>Protein-rich complem. feed f dairy cattle (stall-fed) (in bulk) - prices per 100 kg</v>
          </cell>
          <cell r="W187" t="str">
            <v>Protein-rich complem. feed f dairy cattle (stall-fed) (in bulk) - prices per 100 kg</v>
          </cell>
          <cell r="X187" t="str">
            <v>Protein-rich complem. feed f dairy cattle (stall-fed) (in bulk) - prices per 100 kg</v>
          </cell>
        </row>
        <row r="188">
          <cell r="A188">
            <v>20622101</v>
          </cell>
          <cell r="B188">
            <v>8254</v>
          </cell>
          <cell r="C188" t="str">
            <v>u2</v>
          </cell>
          <cell r="D188" t="str">
            <v>g42</v>
          </cell>
          <cell r="E188" t="str">
            <v>Complementary feed for cattle fattening (in sacks) - prices per 100 kg</v>
          </cell>
          <cell r="F188" t="str">
            <v>Complementary feed for cattle fattening (in sacks) - prices per 100 kg</v>
          </cell>
          <cell r="G188" t="str">
            <v>Ergänzungsfutter für die Rindermast (Sackware)</v>
          </cell>
          <cell r="H188" t="str">
            <v>Complementary feed for cattle fattening (in sacks) - prices per 100 kg</v>
          </cell>
          <cell r="I188" t="str">
            <v>Complementary feed for cattle fattening (in sacks) - prices per 100 kg</v>
          </cell>
          <cell r="J188" t="str">
            <v>Complementary feed for cattle fattening (in sacks) - prices per 100 kg</v>
          </cell>
          <cell r="K188" t="str">
            <v>Complementary feed for cattle fattening (in sacks) - prices per 100 kg</v>
          </cell>
          <cell r="L188" t="str">
            <v>Complementary feed for cattle fattening (in sacks) - prices per 100 kg</v>
          </cell>
          <cell r="M188" t="str">
            <v>Complet pour porcelets d'élevage (en sacs)</v>
          </cell>
          <cell r="N188" t="str">
            <v>Complementary feed for cattle fattening (in sacks) - prices per 100 kg</v>
          </cell>
          <cell r="O188" t="str">
            <v>Complementary feed for cattle fattening (in sacks) - prices per 100 kg</v>
          </cell>
          <cell r="P188" t="str">
            <v>Complementary feed for cattle fattening (in sacks) - prices per 100 kg</v>
          </cell>
          <cell r="Q188" t="str">
            <v>Complementary feed for cattle fattening (in sacks) - prices per 100 kg</v>
          </cell>
          <cell r="R188" t="str">
            <v>Complementary feed for cattle fattening (in sacks) - prices per 100 kg</v>
          </cell>
          <cell r="S188" t="str">
            <v>Complementary feed for cattle fattening (in sacks) - prices per 100 kg</v>
          </cell>
          <cell r="T188" t="str">
            <v>Complementary feed for cattle fattening (in sacks) - prices per 100 kg</v>
          </cell>
          <cell r="U188" t="str">
            <v>Complementary feed for cattle fattening (in sacks) - prices per 100 kg</v>
          </cell>
          <cell r="V188" t="str">
            <v>Complementary feed for cattle fattening (in sacks) - prices per 100 kg</v>
          </cell>
          <cell r="W188" t="str">
            <v>Complementary feed for cattle fattening (in sacks) - prices per 100 kg</v>
          </cell>
          <cell r="X188" t="str">
            <v>Complementary feed for cattle fattening (in sacks) - prices per 100 kg</v>
          </cell>
        </row>
        <row r="189">
          <cell r="A189">
            <v>20622102</v>
          </cell>
          <cell r="B189">
            <v>8255</v>
          </cell>
          <cell r="C189" t="str">
            <v>u2</v>
          </cell>
          <cell r="D189" t="str">
            <v>g42</v>
          </cell>
          <cell r="E189" t="str">
            <v>Complementary feed for cattle fattening (in bulk) - prices per 100 kg</v>
          </cell>
          <cell r="F189" t="str">
            <v>Complementary feed for cattle fattening (in bulk) - prices per 100 kg</v>
          </cell>
          <cell r="G189" t="str">
            <v>Ergänzungsfutter für die Rindermast (Schüttgut)</v>
          </cell>
          <cell r="H189" t="str">
            <v>Complementary feed for cattle fattening (in bulk) - prices per 100 kg</v>
          </cell>
          <cell r="I189" t="str">
            <v>Complementary feed for cattle fattening (in bulk) - prices per 100 kg</v>
          </cell>
          <cell r="J189" t="str">
            <v>Complementary feed for cattle fattening (in bulk) - prices per 100 kg</v>
          </cell>
          <cell r="K189" t="str">
            <v>Complementary feed for cattle fattening (in bulk) - prices per 100 kg</v>
          </cell>
          <cell r="L189" t="str">
            <v>Complementary feed for cattle fattening (in bulk) - prices per 100 kg</v>
          </cell>
          <cell r="M189" t="str">
            <v>Complémentaire pour bovins à l'engrais (en vrac)</v>
          </cell>
          <cell r="N189" t="str">
            <v>Complementary feed for cattle fattening (in bulk) - prices per 100 kg</v>
          </cell>
          <cell r="O189" t="str">
            <v>Complementary feed for cattle fattening (in bulk) - prices per 100 kg</v>
          </cell>
          <cell r="P189" t="str">
            <v>Complementary feed for cattle fattening (in bulk) - prices per 100 kg</v>
          </cell>
          <cell r="Q189" t="str">
            <v>Complementary feed for cattle fattening (in bulk) - prices per 100 kg</v>
          </cell>
          <cell r="R189" t="str">
            <v>Complementary feed for cattle fattening (in bulk) - prices per 100 kg</v>
          </cell>
          <cell r="S189" t="str">
            <v>Complementary feed for cattle fattening (in bulk) - prices per 100 kg</v>
          </cell>
          <cell r="T189" t="str">
            <v>Complementary feed for cattle fattening (in bulk) - prices per 100 kg</v>
          </cell>
          <cell r="U189" t="str">
            <v>Complementary feed for cattle fattening (in bulk) - prices per 100 kg</v>
          </cell>
          <cell r="V189" t="str">
            <v>Complementary feed for cattle fattening (in bulk) - prices per 100 kg</v>
          </cell>
          <cell r="W189" t="str">
            <v>Complementary feed for cattle fattening (in bulk) - prices per 100 kg</v>
          </cell>
          <cell r="X189" t="str">
            <v>Complementary feed for cattle fattening (in bulk) - prices per 100 kg</v>
          </cell>
        </row>
        <row r="190">
          <cell r="A190">
            <v>20622111</v>
          </cell>
          <cell r="B190">
            <v>8256</v>
          </cell>
          <cell r="C190" t="str">
            <v>u2</v>
          </cell>
          <cell r="D190" t="str">
            <v>g42</v>
          </cell>
          <cell r="E190" t="str">
            <v>Protein-rich complementary feed f cattle fattening (in sacks) - prices per 100 kg</v>
          </cell>
          <cell r="F190" t="str">
            <v>Protein-rich complementary feed f cattle fattening (in sacks) - prices per 100 kg</v>
          </cell>
          <cell r="G190" t="str">
            <v>Eiweißreiches Ergänzungsfutter für die Rindermast (Sackware)</v>
          </cell>
          <cell r="H190" t="str">
            <v>Protein-rich complementary feed f cattle fattening (in sacks) - prices per 100 kg</v>
          </cell>
          <cell r="I190" t="str">
            <v>Protein-rich complementary feed f cattle fattening (in sacks) - prices per 100 kg</v>
          </cell>
          <cell r="J190" t="str">
            <v>Protein-rich complementary feed f cattle fattening (in sacks) - prices per 100 kg</v>
          </cell>
          <cell r="K190" t="str">
            <v>Protein-rich complementary feed f cattle fattening (in sacks) - prices per 100 kg</v>
          </cell>
          <cell r="L190" t="str">
            <v>Protein-rich complementary feed f cattle fattening (in sacks) - prices per 100 kg</v>
          </cell>
          <cell r="M190" t="str">
            <v xml:space="preserve">Complémentaire riche en protéines pour bovins à l'engrais (en sacs) </v>
          </cell>
          <cell r="N190" t="str">
            <v>Protein-rich complementary feed f cattle fattening (in sacks) - prices per 100 kg</v>
          </cell>
          <cell r="O190" t="str">
            <v>Protein-rich complementary feed f cattle fattening (in sacks) - prices per 100 kg</v>
          </cell>
          <cell r="P190" t="str">
            <v>Protein-rich complementary feed f cattle fattening (in sacks) - prices per 100 kg</v>
          </cell>
          <cell r="Q190" t="str">
            <v>Protein-rich complementary feed f cattle fattening (in sacks) - prices per 100 kg</v>
          </cell>
          <cell r="R190" t="str">
            <v>Protein-rich complementary feed f cattle fattening (in sacks) - prices per 100 kg</v>
          </cell>
          <cell r="S190" t="str">
            <v>Protein-rich complementary feed f cattle fattening (in sacks) - prices per 100 kg</v>
          </cell>
          <cell r="T190" t="str">
            <v>Protein-rich complementary feed f cattle fattening (in sacks) - prices per 100 kg</v>
          </cell>
          <cell r="U190" t="str">
            <v>Protein-rich complementary feed f cattle fattening (in sacks) - prices per 100 kg</v>
          </cell>
          <cell r="V190" t="str">
            <v>Protein-rich complementary feed f cattle fattening (in sacks) - prices per 100 kg</v>
          </cell>
          <cell r="W190" t="str">
            <v>Protein-rich complementary feed f cattle fattening (in sacks) - prices per 100 kg</v>
          </cell>
          <cell r="X190" t="str">
            <v>Protein-rich complementary feed f cattle fattening (in sacks) - prices per 100 kg</v>
          </cell>
        </row>
        <row r="191">
          <cell r="A191">
            <v>20622112</v>
          </cell>
          <cell r="B191">
            <v>8257</v>
          </cell>
          <cell r="C191" t="str">
            <v>u2</v>
          </cell>
          <cell r="D191" t="str">
            <v>g42</v>
          </cell>
          <cell r="E191" t="str">
            <v>Protein-rich complementary feed for cattle fattening (in bulk) - prices per 100 kg</v>
          </cell>
          <cell r="F191" t="str">
            <v>Protein-rich complementary feed for cattle fattening (in bulk) - prices per 100 kg</v>
          </cell>
          <cell r="G191" t="str">
            <v>Eiweißreiches Ergänzungsfutter für die Rindermast (Schüttgut)</v>
          </cell>
          <cell r="H191" t="str">
            <v>Protein-rich complementary feed for cattle fattening (in bulk) - prices per 100 kg</v>
          </cell>
          <cell r="I191" t="str">
            <v>Protein-rich complementary feed for cattle fattening (in bulk) - prices per 100 kg</v>
          </cell>
          <cell r="J191" t="str">
            <v>Protein-rich complementary feed for cattle fattening (in bulk) - prices per 100 kg</v>
          </cell>
          <cell r="K191" t="str">
            <v>Protein-rich complementary feed for cattle fattening (in bulk) - prices per 100 kg</v>
          </cell>
          <cell r="L191" t="str">
            <v>Protein-rich complementary feed for cattle fattening (in bulk) - prices per 100 kg</v>
          </cell>
          <cell r="M191" t="str">
            <v>Complémentaire riche en protéines pour bovins   (en vrac)</v>
          </cell>
          <cell r="N191" t="str">
            <v>Protein-rich complementary feed for cattle fattening (in bulk) - prices per 100 kg</v>
          </cell>
          <cell r="O191" t="str">
            <v>Protein-rich complementary feed for cattle fattening (in bulk) - prices per 100 kg</v>
          </cell>
          <cell r="P191" t="str">
            <v>Protein-rich complementary feed for cattle fattening (in bulk) - prices per 100 kg</v>
          </cell>
          <cell r="Q191" t="str">
            <v>Protein-rich complementary feed for cattle fattening (in bulk) - prices per 100 kg</v>
          </cell>
          <cell r="R191" t="str">
            <v>Protein-rich complementary feed for cattle fattening (in bulk) - prices per 100 kg</v>
          </cell>
          <cell r="S191" t="str">
            <v>Protein-rich complementary feed for cattle fattening (in bulk) - prices per 100 kg</v>
          </cell>
          <cell r="T191" t="str">
            <v>Protein-rich complementary feed for cattle fattening (in bulk) - prices per 100 kg</v>
          </cell>
          <cell r="U191" t="str">
            <v>Protein-rich complementary feed for cattle fattening (in bulk) - prices per 100 kg</v>
          </cell>
          <cell r="V191" t="str">
            <v>Protein-rich complementary feed for cattle fattening (in bulk) - prices per 100 kg</v>
          </cell>
          <cell r="W191" t="str">
            <v>Protein-rich complementary feed for cattle fattening (in bulk) - prices per 100 kg</v>
          </cell>
          <cell r="X191" t="str">
            <v>Protein-rich complementary feed for cattle fattening (in bulk) - prices per 100 kg</v>
          </cell>
        </row>
        <row r="192">
          <cell r="A192">
            <v>20623101</v>
          </cell>
          <cell r="B192">
            <v>8288</v>
          </cell>
          <cell r="C192" t="str">
            <v>u2</v>
          </cell>
          <cell r="D192" t="str">
            <v>g14</v>
          </cell>
          <cell r="E192" t="str">
            <v>Complete feed for rearing pigs (in sacks) - prices per 100 kg</v>
          </cell>
          <cell r="F192" t="str">
            <v>Complete feed for rearing pigs (in sacks) - prices per 100 kg</v>
          </cell>
          <cell r="G192" t="str">
            <v>Alleinfutter für die Ferkelaufzucht (Sackware)</v>
          </cell>
          <cell r="H192" t="str">
            <v>Complete feed for rearing pigs (in sacks) - prices per 100 kg</v>
          </cell>
          <cell r="I192" t="str">
            <v>Complete feed for rearing pigs (in sacks) - prices per 100 kg</v>
          </cell>
          <cell r="J192" t="str">
            <v>Complete feed for rearing pigs (in sacks) - prices per 100 kg</v>
          </cell>
          <cell r="K192" t="str">
            <v>Complete feed for rearing pigs (in sacks) - prices per 100 kg</v>
          </cell>
          <cell r="L192" t="str">
            <v>Complete feed for rearing pigs (in sacks) - prices per 100 kg</v>
          </cell>
          <cell r="M192" t="str">
            <v>Complet pour porcelets d'élevage (en sacs)</v>
          </cell>
          <cell r="N192" t="str">
            <v>Complete feed for rearing pigs (in sacks) - prices per 100 kg</v>
          </cell>
          <cell r="O192" t="str">
            <v>Complete feed for rearing pigs (in sacks) - prices per 100 kg</v>
          </cell>
          <cell r="P192" t="str">
            <v>Complete feed for rearing pigs (in sacks) - prices per 100 kg</v>
          </cell>
          <cell r="Q192" t="str">
            <v>Complete feed for rearing pigs (in sacks) - prices per 100 kg</v>
          </cell>
          <cell r="R192" t="str">
            <v>Complete feed for rearing pigs (in sacks) - prices per 100 kg</v>
          </cell>
          <cell r="S192" t="str">
            <v>Complete feed for rearing pigs (in sacks) - prices per 100 kg</v>
          </cell>
          <cell r="T192" t="str">
            <v>Complete feed for rearing pigs (in sacks) - prices per 100 kg</v>
          </cell>
          <cell r="U192" t="str">
            <v>Complete feed for rearing pigs (in sacks) - prices per 100 kg</v>
          </cell>
          <cell r="V192" t="str">
            <v>Complete feed for rearing pigs (in sacks) - prices per 100 kg</v>
          </cell>
          <cell r="W192" t="str">
            <v>Complete feed for rearing pigs (in sacks) - prices per 100 kg</v>
          </cell>
          <cell r="X192" t="str">
            <v>Complete feed for rearing pigs (in sacks) - prices per 100 kg</v>
          </cell>
        </row>
        <row r="193">
          <cell r="A193">
            <v>20623102</v>
          </cell>
          <cell r="B193">
            <v>8289</v>
          </cell>
          <cell r="C193" t="str">
            <v>u2</v>
          </cell>
          <cell r="D193" t="str">
            <v>g14</v>
          </cell>
          <cell r="E193" t="str">
            <v>Complete feed for rearing pigs (in bulk) - prices per 100 kg</v>
          </cell>
          <cell r="F193" t="str">
            <v>Complete feed for rearing pigs (in bulk) - prices per 100 kg</v>
          </cell>
          <cell r="G193" t="str">
            <v>Alleinfutter für die Ferkelaufzucht (Schüttgut)</v>
          </cell>
          <cell r="H193" t="str">
            <v>Complete feed for rearing pigs (in bulk) - prices per 100 kg</v>
          </cell>
          <cell r="I193" t="str">
            <v>Complete feed for rearing pigs (in bulk) - prices per 100 kg</v>
          </cell>
          <cell r="J193" t="str">
            <v>Complete feed for rearing pigs (in bulk) - prices per 100 kg</v>
          </cell>
          <cell r="K193" t="str">
            <v>Complete feed for rearing pigs (in bulk) - prices per 100 kg</v>
          </cell>
          <cell r="L193" t="str">
            <v>Complete feed for rearing pigs (in bulk) - prices per 100 kg</v>
          </cell>
          <cell r="M193" t="str">
            <v>Complet pour porcelets d'élevage (en vrac)</v>
          </cell>
          <cell r="N193" t="str">
            <v>Complete feed for rearing pigs (in bulk) - prices per 100 kg</v>
          </cell>
          <cell r="O193" t="str">
            <v>Complete feed for rearing pigs (in bulk) - prices per 100 kg</v>
          </cell>
          <cell r="P193" t="str">
            <v>Complete feed for rearing pigs (in bulk) - prices per 100 kg</v>
          </cell>
          <cell r="Q193" t="str">
            <v>Complete feed for rearing pigs (in bulk) - prices per 100 kg</v>
          </cell>
          <cell r="R193" t="str">
            <v>Complete feed for rearing pigs (in bulk) - prices per 100 kg</v>
          </cell>
          <cell r="S193" t="str">
            <v>Complete feed for rearing pigs (in bulk) - prices per 100 kg</v>
          </cell>
          <cell r="T193" t="str">
            <v>Complete feed for rearing pigs (in bulk) - prices per 100 kg</v>
          </cell>
          <cell r="U193" t="str">
            <v>Complete feed for rearing pigs (in bulk) - prices per 100 kg</v>
          </cell>
          <cell r="V193" t="str">
            <v>Complete feed for rearing pigs (in bulk) - prices per 100 kg</v>
          </cell>
          <cell r="W193" t="str">
            <v>Complete feed for rearing pigs (in bulk) - prices per 100 kg</v>
          </cell>
          <cell r="X193" t="str">
            <v>Complete feed for rearing pigs (in bulk) - prices per 100 kg</v>
          </cell>
        </row>
        <row r="194">
          <cell r="A194">
            <v>20623301</v>
          </cell>
          <cell r="B194">
            <v>8296</v>
          </cell>
          <cell r="C194" t="str">
            <v>u2</v>
          </cell>
          <cell r="D194" t="str">
            <v>g14</v>
          </cell>
          <cell r="E194" t="str">
            <v>Complete feed for sows (in sacks) - prices per 100 kg</v>
          </cell>
          <cell r="F194" t="str">
            <v>Complete feed for sows (in sacks) - prices per 100 kg</v>
          </cell>
          <cell r="G194" t="str">
            <v>Alleinfutter für Zuchtsauen (Sackware)</v>
          </cell>
          <cell r="H194" t="str">
            <v>Complete feed for sows (in sacks) - prices per 100 kg</v>
          </cell>
          <cell r="I194" t="str">
            <v>Complete feed for sows (in sacks) - prices per 100 kg</v>
          </cell>
          <cell r="J194" t="str">
            <v>Complete feed for sows (in sacks) - prices per 100 kg</v>
          </cell>
          <cell r="K194" t="str">
            <v>Complete feed for sows (in sacks) - prices per 100 kg</v>
          </cell>
          <cell r="L194" t="str">
            <v>Complete feed for sows (in sacks) - prices per 100 kg</v>
          </cell>
          <cell r="M194" t="str">
            <v>Complet pour truies (en sacs)</v>
          </cell>
          <cell r="N194" t="str">
            <v>Complete feed for sows (in sacks) - prices per 100 kg</v>
          </cell>
          <cell r="O194" t="str">
            <v>Complete feed for sows (in sacks) - prices per 100 kg</v>
          </cell>
          <cell r="P194" t="str">
            <v>Complete feed for sows (in sacks) - prices per 100 kg</v>
          </cell>
          <cell r="Q194" t="str">
            <v>Complete feed for sows (in sacks) - prices per 100 kg</v>
          </cell>
          <cell r="R194" t="str">
            <v>Complete feed for sows (in sacks) - prices per 100 kg</v>
          </cell>
          <cell r="S194" t="str">
            <v>Complete feed for sows (in sacks) - prices per 100 kg</v>
          </cell>
          <cell r="T194" t="str">
            <v>Complete feed for sows (in sacks) - prices per 100 kg</v>
          </cell>
          <cell r="U194" t="str">
            <v>Complete feed for sows (in sacks) - prices per 100 kg</v>
          </cell>
          <cell r="V194" t="str">
            <v>Complete feed for sows (in sacks) - prices per 100 kg</v>
          </cell>
          <cell r="W194" t="str">
            <v>Complete feed for sows (in sacks) - prices per 100 kg</v>
          </cell>
          <cell r="X194" t="str">
            <v>Complete feed for sows (in sacks) - prices per 100 kg</v>
          </cell>
        </row>
        <row r="195">
          <cell r="A195">
            <v>20623302</v>
          </cell>
          <cell r="B195">
            <v>8297</v>
          </cell>
          <cell r="C195" t="str">
            <v>u2</v>
          </cell>
          <cell r="D195" t="str">
            <v>g14</v>
          </cell>
          <cell r="E195" t="str">
            <v>Complete feed for sows (in bulk) - prices per 100 kg</v>
          </cell>
          <cell r="F195" t="str">
            <v>Complete feed for sows (in bulk) - prices per 100 kg</v>
          </cell>
          <cell r="G195" t="str">
            <v>Alleinfutter für Zuchtsauen (Schüttgut)</v>
          </cell>
          <cell r="H195" t="str">
            <v>Complete feed for sows (in bulk) - prices per 100 kg</v>
          </cell>
          <cell r="I195" t="str">
            <v>Complete feed for sows (in bulk) - prices per 100 kg</v>
          </cell>
          <cell r="J195" t="str">
            <v>Complete feed for sows (in bulk) - prices per 100 kg</v>
          </cell>
          <cell r="K195" t="str">
            <v>Complete feed for sows (in bulk) - prices per 100 kg</v>
          </cell>
          <cell r="L195" t="str">
            <v>Complete feed for sows (in bulk) - prices per 100 kg</v>
          </cell>
          <cell r="M195" t="str">
            <v>Complet pour truies (en vrac)</v>
          </cell>
          <cell r="N195" t="str">
            <v>Complete feed for sows (in bulk) - prices per 100 kg</v>
          </cell>
          <cell r="O195" t="str">
            <v>Complete feed for sows (in bulk) - prices per 100 kg</v>
          </cell>
          <cell r="P195" t="str">
            <v>Complete feed for sows (in bulk) - prices per 100 kg</v>
          </cell>
          <cell r="Q195" t="str">
            <v>Complete feed for sows (in bulk) - prices per 100 kg</v>
          </cell>
          <cell r="R195" t="str">
            <v>Complete feed for sows (in bulk) - prices per 100 kg</v>
          </cell>
          <cell r="S195" t="str">
            <v>Complete feed for sows (in bulk) - prices per 100 kg</v>
          </cell>
          <cell r="T195" t="str">
            <v>Complete feed for sows (in bulk) - prices per 100 kg</v>
          </cell>
          <cell r="U195" t="str">
            <v>Complete feed for sows (in bulk) - prices per 100 kg</v>
          </cell>
          <cell r="V195" t="str">
            <v>Complete feed for sows (in bulk) - prices per 100 kg</v>
          </cell>
          <cell r="W195" t="str">
            <v>Complete feed for sows (in bulk) - prices per 100 kg</v>
          </cell>
          <cell r="X195" t="str">
            <v>Complete feed for sows (in bulk) - prices per 100 kg</v>
          </cell>
        </row>
        <row r="196">
          <cell r="A196">
            <v>20623201</v>
          </cell>
          <cell r="B196">
            <v>8292</v>
          </cell>
          <cell r="C196" t="str">
            <v>u2</v>
          </cell>
          <cell r="D196" t="str">
            <v>g14</v>
          </cell>
          <cell r="E196" t="str">
            <v>Complete feed for fattening pigs (in sacks) - prices per 100 kg</v>
          </cell>
          <cell r="F196" t="str">
            <v>Complete feed for fattening pigs (in sacks) - prices per 100 kg</v>
          </cell>
          <cell r="G196" t="str">
            <v>Alleinfutter für die Schweinemast (Sackware)</v>
          </cell>
          <cell r="H196" t="str">
            <v>Complete feed for fattening pigs (in sacks) - prices per 100 kg</v>
          </cell>
          <cell r="I196" t="str">
            <v>Complete feed for fattening pigs (in sacks) - prices per 100 kg</v>
          </cell>
          <cell r="J196" t="str">
            <v>Complete feed for fattening pigs (in sacks) - prices per 100 kg</v>
          </cell>
          <cell r="K196" t="str">
            <v>Complete feed for fattening pigs (in sacks) - prices per 100 kg</v>
          </cell>
          <cell r="L196" t="str">
            <v>Complete feed for fattening pigs (in sacks) - prices per 100 kg</v>
          </cell>
          <cell r="M196" t="str">
            <v>Complet pour porcs à l'engrais (en sacs)</v>
          </cell>
          <cell r="N196" t="str">
            <v>Complete feed for fattening pigs (in sacks) - prices per 100 kg</v>
          </cell>
          <cell r="O196" t="str">
            <v>Complete feed for fattening pigs (in sacks) - prices per 100 kg</v>
          </cell>
          <cell r="P196" t="str">
            <v>Complete feed for fattening pigs (in sacks) - prices per 100 kg</v>
          </cell>
          <cell r="Q196" t="str">
            <v>Complete feed for fattening pigs (in sacks) - prices per 100 kg</v>
          </cell>
          <cell r="R196" t="str">
            <v>Complete feed for fattening pigs (in sacks) - prices per 100 kg</v>
          </cell>
          <cell r="S196" t="str">
            <v>Complete feed for fattening pigs (in sacks) - prices per 100 kg</v>
          </cell>
          <cell r="T196" t="str">
            <v>Complete feed for fattening pigs (in sacks) - prices per 100 kg</v>
          </cell>
          <cell r="U196" t="str">
            <v>Complete feed for fattening pigs (in sacks) - prices per 100 kg</v>
          </cell>
          <cell r="V196" t="str">
            <v>Complete feed for fattening pigs (in sacks) - prices per 100 kg</v>
          </cell>
          <cell r="W196" t="str">
            <v>Complete feed for fattening pigs (in sacks) - prices per 100 kg</v>
          </cell>
          <cell r="X196" t="str">
            <v>Complete feed for fattening pigs (in sacks) - prices per 100 kg</v>
          </cell>
        </row>
        <row r="197">
          <cell r="A197">
            <v>20623202</v>
          </cell>
          <cell r="B197">
            <v>8293</v>
          </cell>
          <cell r="C197" t="str">
            <v>u2</v>
          </cell>
          <cell r="D197" t="str">
            <v>g14</v>
          </cell>
          <cell r="E197" t="str">
            <v>Complete feed for fattening pigs (in bulk) - prices per 100 kg</v>
          </cell>
          <cell r="F197" t="str">
            <v>Complete feed for fattening pigs (in bulk) - prices per 100 kg</v>
          </cell>
          <cell r="G197" t="str">
            <v>Alleinfutter für die Schweinemast (Schüttgut)</v>
          </cell>
          <cell r="H197" t="str">
            <v>Complete feed for fattening pigs (in bulk) - prices per 100 kg</v>
          </cell>
          <cell r="I197" t="str">
            <v>Complete feed for fattening pigs (in bulk) - prices per 100 kg</v>
          </cell>
          <cell r="J197" t="str">
            <v>Complete feed for fattening pigs (in bulk) - prices per 100 kg</v>
          </cell>
          <cell r="K197" t="str">
            <v>Complete feed for fattening pigs (in bulk) - prices per 100 kg</v>
          </cell>
          <cell r="L197" t="str">
            <v>Complete feed for fattening pigs (in bulk) - prices per 100 kg</v>
          </cell>
          <cell r="M197" t="str">
            <v>Complet pour porcs à l'engrais (en vrac)</v>
          </cell>
          <cell r="N197" t="str">
            <v>Complete feed for fattening pigs (in bulk) - prices per 100 kg</v>
          </cell>
          <cell r="O197" t="str">
            <v>Complete feed for fattening pigs (in bulk) - prices per 100 kg</v>
          </cell>
          <cell r="P197" t="str">
            <v>Complete feed for fattening pigs (in bulk) - prices per 100 kg</v>
          </cell>
          <cell r="Q197" t="str">
            <v>Complete feed for fattening pigs (in bulk) - prices per 100 kg</v>
          </cell>
          <cell r="R197" t="str">
            <v>Complete feed for fattening pigs (in bulk) - prices per 100 kg</v>
          </cell>
          <cell r="S197" t="str">
            <v>Complete feed for fattening pigs (in bulk) - prices per 100 kg</v>
          </cell>
          <cell r="T197" t="str">
            <v>Complete feed for fattening pigs (in bulk) - prices per 100 kg</v>
          </cell>
          <cell r="U197" t="str">
            <v>Complete feed for fattening pigs (in bulk) - prices per 100 kg</v>
          </cell>
          <cell r="V197" t="str">
            <v>Complete feed for fattening pigs (in bulk) - prices per 100 kg</v>
          </cell>
          <cell r="W197" t="str">
            <v>Complete feed for fattening pigs (in bulk) - prices per 100 kg</v>
          </cell>
          <cell r="X197" t="str">
            <v>Complete feed for fattening pigs (in bulk) - prices per 100 kg</v>
          </cell>
        </row>
        <row r="198">
          <cell r="A198">
            <v>20624101</v>
          </cell>
          <cell r="B198">
            <v>8307</v>
          </cell>
          <cell r="C198" t="str">
            <v>u2</v>
          </cell>
          <cell r="D198" t="str">
            <v>g15</v>
          </cell>
          <cell r="E198" t="str">
            <v>Baby chick feed (in sacks) - prices per 100 kg</v>
          </cell>
          <cell r="F198" t="str">
            <v>Baby chick feed (in sacks) - prices per 100 kg</v>
          </cell>
          <cell r="G198" t="str">
            <v>Alleinfutter für Küken der ersten Tage (Sackware)</v>
          </cell>
          <cell r="H198" t="str">
            <v>Baby chick feed (in sacks) - prices per 100 kg</v>
          </cell>
          <cell r="I198" t="str">
            <v>Baby chick feed (in sacks) - prices per 100 kg</v>
          </cell>
          <cell r="J198" t="str">
            <v>Baby chick feed (in sacks) - prices per 100 kg</v>
          </cell>
          <cell r="K198" t="str">
            <v>Baby chick feed (in sacks) - prices per 100 kg</v>
          </cell>
          <cell r="L198" t="str">
            <v>Baby chick feed (in sacks) - prices per 100 kg</v>
          </cell>
          <cell r="M198" t="str">
            <v>Complet pour poussins des premiers jours (en sacs)</v>
          </cell>
          <cell r="N198" t="str">
            <v>Baby chick feed (in sacks) - prices per 100 kg</v>
          </cell>
          <cell r="O198" t="str">
            <v>Baby chick feed (in sacks) - prices per 100 kg</v>
          </cell>
          <cell r="P198" t="str">
            <v>Baby chick feed (in sacks) - prices per 100 kg</v>
          </cell>
          <cell r="Q198" t="str">
            <v>Baby chick feed (in sacks) - prices per 100 kg</v>
          </cell>
          <cell r="R198" t="str">
            <v>Baby chick feed (in sacks) - prices per 100 kg</v>
          </cell>
          <cell r="S198" t="str">
            <v>Baby chick feed (in sacks) - prices per 100 kg</v>
          </cell>
          <cell r="T198" t="str">
            <v>Baby chick feed (in sacks) - prices per 100 kg</v>
          </cell>
          <cell r="U198" t="str">
            <v>Baby chick feed (in sacks) - prices per 100 kg</v>
          </cell>
          <cell r="V198" t="str">
            <v>Baby chick feed (in sacks) - prices per 100 kg</v>
          </cell>
          <cell r="W198" t="str">
            <v>Baby chick feed (in sacks) - prices per 100 kg</v>
          </cell>
          <cell r="X198" t="str">
            <v>Baby chick feed (in sacks) - prices per 100 kg</v>
          </cell>
        </row>
        <row r="199">
          <cell r="A199">
            <v>20624102</v>
          </cell>
          <cell r="B199">
            <v>8308</v>
          </cell>
          <cell r="C199" t="str">
            <v>u2</v>
          </cell>
          <cell r="D199" t="str">
            <v>g15</v>
          </cell>
          <cell r="E199" t="str">
            <v>Baby chick feed (in bulk) - prices per 100 kg</v>
          </cell>
          <cell r="F199" t="str">
            <v>Baby chick feed (in bulk) - prices per 100 kg</v>
          </cell>
          <cell r="G199" t="str">
            <v>Alleinfutter für Küken der ersten Tage (Schüttgut)</v>
          </cell>
          <cell r="H199" t="str">
            <v>Baby chick feed (in bulk) - prices per 100 kg</v>
          </cell>
          <cell r="I199" t="str">
            <v>Baby chick feed (in bulk) - prices per 100 kg</v>
          </cell>
          <cell r="J199" t="str">
            <v>Baby chick feed (in bulk) - prices per 100 kg</v>
          </cell>
          <cell r="K199" t="str">
            <v>Baby chick feed (in bulk) - prices per 100 kg</v>
          </cell>
          <cell r="L199" t="str">
            <v>Baby chick feed (in bulk) - prices per 100 kg</v>
          </cell>
          <cell r="M199" t="str">
            <v>Complet pour poussins des premiers jours (en  vrac)</v>
          </cell>
          <cell r="N199" t="str">
            <v>Baby chick feed (in bulk) - prices per 100 kg</v>
          </cell>
          <cell r="O199" t="str">
            <v>Baby chick feed (in bulk) - prices per 100 kg</v>
          </cell>
          <cell r="P199" t="str">
            <v>Baby chick feed (in bulk) - prices per 100 kg</v>
          </cell>
          <cell r="Q199" t="str">
            <v>Baby chick feed (in bulk) - prices per 100 kg</v>
          </cell>
          <cell r="R199" t="str">
            <v>Baby chick feed (in bulk) - prices per 100 kg</v>
          </cell>
          <cell r="S199" t="str">
            <v>Baby chick feed (in bulk) - prices per 100 kg</v>
          </cell>
          <cell r="T199" t="str">
            <v>Baby chick feed (in bulk) - prices per 100 kg</v>
          </cell>
          <cell r="U199" t="str">
            <v>Baby chick feed (in bulk) - prices per 100 kg</v>
          </cell>
          <cell r="V199" t="str">
            <v>Baby chick feed (in bulk) - prices per 100 kg</v>
          </cell>
          <cell r="W199" t="str">
            <v>Baby chick feed (in bulk) - prices per 100 kg</v>
          </cell>
          <cell r="X199" t="str">
            <v>Baby chick feed (in bulk) - prices per 100 kg</v>
          </cell>
        </row>
        <row r="200">
          <cell r="A200">
            <v>20624201</v>
          </cell>
          <cell r="B200">
            <v>8312</v>
          </cell>
          <cell r="C200" t="str">
            <v>u2</v>
          </cell>
          <cell r="D200" t="str">
            <v>g15</v>
          </cell>
          <cell r="E200" t="str">
            <v>Complete feed for rearing pulle (in sacks) - prices per 100 kg</v>
          </cell>
          <cell r="F200" t="str">
            <v>Complete feed for rearing pulle (in sacks) - prices per 100 kg</v>
          </cell>
          <cell r="G200" t="str">
            <v>Alleinfutter für Junghennen bis zur Legereife (Sackware)</v>
          </cell>
          <cell r="H200" t="str">
            <v>Complete feed for rearing pulle (in sacks) - prices per 100 kg</v>
          </cell>
          <cell r="I200" t="str">
            <v>Complete feed for rearing pulle (in sacks) - prices per 100 kg</v>
          </cell>
          <cell r="J200" t="str">
            <v>Complete feed for rearing pulle (in sacks) - prices per 100 kg</v>
          </cell>
          <cell r="K200" t="str">
            <v>Complete feed for rearing pulle (in sacks) - prices per 100 kg</v>
          </cell>
          <cell r="L200" t="str">
            <v>Complete feed for rearing pulle (in sacks) - prices per 100 kg</v>
          </cell>
          <cell r="M200" t="str">
            <v>Complet pour poulettes jusqu'à la ponte (en  sacs)</v>
          </cell>
          <cell r="N200" t="str">
            <v>Complete feed for rearing pulle (in sacks) - prices per 100 kg</v>
          </cell>
          <cell r="O200" t="str">
            <v>Complete feed for rearing pulle (in sacks) - prices per 100 kg</v>
          </cell>
          <cell r="P200" t="str">
            <v>Complete feed for rearing pulle (in sacks) - prices per 100 kg</v>
          </cell>
          <cell r="Q200" t="str">
            <v>Complete feed for rearing pulle (in sacks) - prices per 100 kg</v>
          </cell>
          <cell r="R200" t="str">
            <v>Complete feed for rearing pulle (in sacks) - prices per 100 kg</v>
          </cell>
          <cell r="S200" t="str">
            <v>Complete feed for rearing pulle (in sacks) - prices per 100 kg</v>
          </cell>
          <cell r="T200" t="str">
            <v>Complete feed for rearing pulle (in sacks) - prices per 100 kg</v>
          </cell>
          <cell r="U200" t="str">
            <v>Complete feed for rearing pulle (in sacks) - prices per 100 kg</v>
          </cell>
          <cell r="V200" t="str">
            <v>Complete feed for rearing pulle (in sacks) - prices per 100 kg</v>
          </cell>
          <cell r="W200" t="str">
            <v>Complete feed for rearing pulle (in sacks) - prices per 100 kg</v>
          </cell>
          <cell r="X200" t="str">
            <v>Complete feed for rearing pulle (in sacks) - prices per 100 kg</v>
          </cell>
        </row>
        <row r="201">
          <cell r="A201">
            <v>20624202</v>
          </cell>
          <cell r="B201">
            <v>8313</v>
          </cell>
          <cell r="C201" t="str">
            <v>u2</v>
          </cell>
          <cell r="D201" t="str">
            <v>g15</v>
          </cell>
          <cell r="E201" t="str">
            <v>Complete feed for rearing pulle (in bulk) - prices per 100 kg</v>
          </cell>
          <cell r="F201" t="str">
            <v>Complete feed for rearing pulle (in bulk) - prices per 100 kg</v>
          </cell>
          <cell r="G201" t="str">
            <v>Alleinfutter für Junghennen bis zur Legereife (Schüttgut)</v>
          </cell>
          <cell r="H201" t="str">
            <v>Complete feed for rearing pulle (in bulk) - prices per 100 kg</v>
          </cell>
          <cell r="I201" t="str">
            <v>Complete feed for rearing pulle (in bulk) - prices per 100 kg</v>
          </cell>
          <cell r="J201" t="str">
            <v>Complete feed for rearing pulle (in bulk) - prices per 100 kg</v>
          </cell>
          <cell r="K201" t="str">
            <v>Complete feed for rearing pulle (in bulk) - prices per 100 kg</v>
          </cell>
          <cell r="L201" t="str">
            <v>Complete feed for rearing pulle (in bulk) - prices per 100 kg</v>
          </cell>
          <cell r="M201" t="str">
            <v>Complet pour poulettes jusqu'à la ponte (en vrac)</v>
          </cell>
          <cell r="N201" t="str">
            <v>Complete feed for rearing pulle (in bulk) - prices per 100 kg</v>
          </cell>
          <cell r="O201" t="str">
            <v>Complete feed for rearing pulle (in bulk) - prices per 100 kg</v>
          </cell>
          <cell r="P201" t="str">
            <v>Complete feed for rearing pulle (in bulk) - prices per 100 kg</v>
          </cell>
          <cell r="Q201" t="str">
            <v>Complete feed for rearing pulle (in bulk) - prices per 100 kg</v>
          </cell>
          <cell r="R201" t="str">
            <v>Complete feed for rearing pulle (in bulk) - prices per 100 kg</v>
          </cell>
          <cell r="S201" t="str">
            <v>Complete feed for rearing pulle (in bulk) - prices per 100 kg</v>
          </cell>
          <cell r="T201" t="str">
            <v>Complete feed for rearing pulle (in bulk) - prices per 100 kg</v>
          </cell>
          <cell r="U201" t="str">
            <v>Complete feed for rearing pulle (in bulk) - prices per 100 kg</v>
          </cell>
          <cell r="V201" t="str">
            <v>Complete feed for rearing pulle (in bulk) - prices per 100 kg</v>
          </cell>
          <cell r="W201" t="str">
            <v>Complete feed for rearing pulle (in bulk) - prices per 100 kg</v>
          </cell>
          <cell r="X201" t="str">
            <v>Complete feed for rearing pulle (in bulk) - prices per 100 kg</v>
          </cell>
        </row>
        <row r="202">
          <cell r="A202">
            <v>20624301</v>
          </cell>
          <cell r="B202">
            <v>8319</v>
          </cell>
          <cell r="C202" t="str">
            <v>u2</v>
          </cell>
          <cell r="D202" t="str">
            <v>g15</v>
          </cell>
          <cell r="E202" t="str">
            <v>Complete feed for battery laying hens (in sacks) - prices per 100 kg</v>
          </cell>
          <cell r="F202" t="str">
            <v>Complete feed for battery laying hens (in sacks) - prices per 100 kg</v>
          </cell>
          <cell r="G202" t="str">
            <v>Alleinfutter für Legehennen in Batteriehaltung (Sackware)</v>
          </cell>
          <cell r="H202" t="str">
            <v>Complete feed for battery laying hens (in sacks) - prices per 100 kg</v>
          </cell>
          <cell r="I202" t="str">
            <v>Complete feed for battery laying hens (in sacks) - prices per 100 kg</v>
          </cell>
          <cell r="J202" t="str">
            <v>Complete feed for battery laying hens (in sacks) - prices per 100 kg</v>
          </cell>
          <cell r="K202" t="str">
            <v>Complete feed for battery laying hens (in sacks) - prices per 100 kg</v>
          </cell>
          <cell r="L202" t="str">
            <v>Complete feed for battery laying hens (in sacks) - prices per 100 kg</v>
          </cell>
          <cell r="M202" t="str">
            <v>Complet pour poules pondeuses (en batteries)  (en sacs)</v>
          </cell>
          <cell r="N202" t="str">
            <v>Complete feed for battery laying hens (in sacks) - prices per 100 kg</v>
          </cell>
          <cell r="O202" t="str">
            <v>Complete feed for battery laying hens (in sacks) - prices per 100 kg</v>
          </cell>
          <cell r="P202" t="str">
            <v>Complete feed for battery laying hens (in sacks) - prices per 100 kg</v>
          </cell>
          <cell r="Q202" t="str">
            <v>Complete feed for battery laying hens (in sacks) - prices per 100 kg</v>
          </cell>
          <cell r="R202" t="str">
            <v>Complete feed for battery laying hens (in sacks) - prices per 100 kg</v>
          </cell>
          <cell r="S202" t="str">
            <v>Complete feed for battery laying hens (in sacks) - prices per 100 kg</v>
          </cell>
          <cell r="T202" t="str">
            <v>Complete feed for battery laying hens (in sacks) - prices per 100 kg</v>
          </cell>
          <cell r="U202" t="str">
            <v>Complete feed for battery laying hens (in sacks) - prices per 100 kg</v>
          </cell>
          <cell r="V202" t="str">
            <v>Complete feed for battery laying hens (in sacks) - prices per 100 kg</v>
          </cell>
          <cell r="W202" t="str">
            <v>Complete feed for battery laying hens (in sacks) - prices per 100 kg</v>
          </cell>
          <cell r="X202" t="str">
            <v>Complete feed for battery laying hens (in sacks) - prices per 100 kg</v>
          </cell>
        </row>
        <row r="203">
          <cell r="A203">
            <v>20624302</v>
          </cell>
          <cell r="B203">
            <v>8320</v>
          </cell>
          <cell r="C203" t="str">
            <v>u2</v>
          </cell>
          <cell r="D203" t="str">
            <v>g15</v>
          </cell>
          <cell r="E203" t="str">
            <v>Complete feed for battery laying hens (in bulk) - prices per 100 kg</v>
          </cell>
          <cell r="F203" t="str">
            <v>Complete feed for battery laying hens (in bulk) - prices per 100 kg</v>
          </cell>
          <cell r="G203" t="str">
            <v>Alleinfutter für Legehennen in Batteriehaltung (Schüttgut)</v>
          </cell>
          <cell r="H203" t="str">
            <v>Complete feed for battery laying hens (in bulk) - prices per 100 kg</v>
          </cell>
          <cell r="I203" t="str">
            <v>Complete feed for battery laying hens (in bulk) - prices per 100 kg</v>
          </cell>
          <cell r="J203" t="str">
            <v>Complete feed for battery laying hens (in bulk) - prices per 100 kg</v>
          </cell>
          <cell r="K203" t="str">
            <v>Complete feed for battery laying hens (in bulk) - prices per 100 kg</v>
          </cell>
          <cell r="L203" t="str">
            <v>Complete feed for battery laying hens (in bulk) - prices per 100 kg</v>
          </cell>
          <cell r="M203" t="str">
            <v>Complet pour poules pondeuses (en batteries)  (en vrac)</v>
          </cell>
          <cell r="N203" t="str">
            <v>Complete feed for battery laying hens (in bulk) - prices per 100 kg</v>
          </cell>
          <cell r="O203" t="str">
            <v>Complete feed for battery laying hens (in bulk) - prices per 100 kg</v>
          </cell>
          <cell r="P203" t="str">
            <v>Complete feed for battery laying hens (in bulk) - prices per 100 kg</v>
          </cell>
          <cell r="Q203" t="str">
            <v>Complete feed for battery laying hens (in bulk) - prices per 100 kg</v>
          </cell>
          <cell r="R203" t="str">
            <v>Complete feed for battery laying hens (in bulk) - prices per 100 kg</v>
          </cell>
          <cell r="S203" t="str">
            <v>Complete feed for battery laying hens (in bulk) - prices per 100 kg</v>
          </cell>
          <cell r="T203" t="str">
            <v>Complete feed for battery laying hens (in bulk) - prices per 100 kg</v>
          </cell>
          <cell r="U203" t="str">
            <v>Complete feed for battery laying hens (in bulk) - prices per 100 kg</v>
          </cell>
          <cell r="V203" t="str">
            <v>Complete feed for battery laying hens (in bulk) - prices per 100 kg</v>
          </cell>
          <cell r="W203" t="str">
            <v>Complete feed for battery laying hens (in bulk) - prices per 100 kg</v>
          </cell>
          <cell r="X203" t="str">
            <v>Complete feed for battery laying hens (in bulk) - prices per 100 kg</v>
          </cell>
        </row>
        <row r="204">
          <cell r="A204">
            <v>20624501</v>
          </cell>
          <cell r="B204">
            <v>8327</v>
          </cell>
          <cell r="C204" t="str">
            <v>u2</v>
          </cell>
          <cell r="D204" t="str">
            <v>g15</v>
          </cell>
          <cell r="E204" t="str">
            <v>Complete feed for broiler production (in sacks) - prices per 100 kg</v>
          </cell>
          <cell r="F204" t="str">
            <v>Complete feed for broiler production (in sacks) - prices per 100 kg</v>
          </cell>
          <cell r="G204" t="str">
            <v>Alleinfutter für die Endmast von Geflügel (Sackware)</v>
          </cell>
          <cell r="H204" t="str">
            <v>Complete feed for broiler production (in sacks) - prices per 100 kg</v>
          </cell>
          <cell r="I204" t="str">
            <v>Complete feed for broiler production (in sacks) - prices per 100 kg</v>
          </cell>
          <cell r="J204" t="str">
            <v>Complete feed for broiler production (in sacks) - prices per 100 kg</v>
          </cell>
          <cell r="K204" t="str">
            <v>Complete feed for broiler production (in sacks) - prices per 100 kg</v>
          </cell>
          <cell r="L204" t="str">
            <v>Complete feed for broiler production (in sacks) - prices per 100 kg</v>
          </cell>
          <cell r="M204" t="str">
            <v>Complet pour poulets à l'engrais (en sacs)</v>
          </cell>
          <cell r="N204" t="str">
            <v>Complete feed for broiler production (in sacks) - prices per 100 kg</v>
          </cell>
          <cell r="O204" t="str">
            <v>Complete feed for broiler production (in sacks) - prices per 100 kg</v>
          </cell>
          <cell r="P204" t="str">
            <v>Complete feed for broiler production (in sacks) - prices per 100 kg</v>
          </cell>
          <cell r="Q204" t="str">
            <v>Complete feed for broiler production (in sacks) - prices per 100 kg</v>
          </cell>
          <cell r="R204" t="str">
            <v>Complete feed for broiler production (in sacks) - prices per 100 kg</v>
          </cell>
          <cell r="S204" t="str">
            <v>Complete feed for broiler production (in sacks) - prices per 100 kg</v>
          </cell>
          <cell r="T204" t="str">
            <v>Complete feed for broiler production (in sacks) - prices per 100 kg</v>
          </cell>
          <cell r="U204" t="str">
            <v>Complete feed for broiler production (in sacks) - prices per 100 kg</v>
          </cell>
          <cell r="V204" t="str">
            <v>Complete feed for broiler production (in sacks) - prices per 100 kg</v>
          </cell>
          <cell r="W204" t="str">
            <v>Complete feed for broiler production (in sacks) - prices per 100 kg</v>
          </cell>
          <cell r="X204" t="str">
            <v>Complete feed for broiler production (in sacks) - prices per 100 kg</v>
          </cell>
        </row>
        <row r="205">
          <cell r="A205">
            <v>20624502</v>
          </cell>
          <cell r="B205">
            <v>8328</v>
          </cell>
          <cell r="C205" t="str">
            <v>u2</v>
          </cell>
          <cell r="D205" t="str">
            <v>g15</v>
          </cell>
          <cell r="E205" t="str">
            <v>Complete feed for broiler production (in bulk) - prices per 100 kg</v>
          </cell>
          <cell r="F205" t="str">
            <v>Complete feed for broiler production (in bulk) - prices per 100 kg</v>
          </cell>
          <cell r="G205" t="str">
            <v>Alleinfutter für die Endmast von Geflügel (Schüttgut)</v>
          </cell>
          <cell r="H205" t="str">
            <v>Complete feed for broiler production (in bulk) - prices per 100 kg</v>
          </cell>
          <cell r="I205" t="str">
            <v>Complete feed for broiler production (in bulk) - prices per 100 kg</v>
          </cell>
          <cell r="J205" t="str">
            <v>Complete feed for broiler production (in bulk) - prices per 100 kg</v>
          </cell>
          <cell r="K205" t="str">
            <v>Complete feed for broiler production (in bulk) - prices per 100 kg</v>
          </cell>
          <cell r="L205" t="str">
            <v>Complete feed for broiler production (in bulk) - prices per 100 kg</v>
          </cell>
          <cell r="M205" t="str">
            <v>Complet pour poulets à l'engrais (en vrac)</v>
          </cell>
          <cell r="N205" t="str">
            <v>Complete feed for broiler production (in bulk) - prices per 100 kg</v>
          </cell>
          <cell r="O205" t="str">
            <v>Complete feed for broiler production (in bulk) - prices per 100 kg</v>
          </cell>
          <cell r="P205" t="str">
            <v>Complete feed for broiler production (in bulk) - prices per 100 kg</v>
          </cell>
          <cell r="Q205" t="str">
            <v>Complete feed for broiler production (in bulk) - prices per 100 kg</v>
          </cell>
          <cell r="R205" t="str">
            <v>Complete feed for broiler production (in bulk) - prices per 100 kg</v>
          </cell>
          <cell r="S205" t="str">
            <v>Complete feed for broiler production (in bulk) - prices per 100 kg</v>
          </cell>
          <cell r="T205" t="str">
            <v>Complete feed for broiler production (in bulk) - prices per 100 kg</v>
          </cell>
          <cell r="U205" t="str">
            <v>Complete feed for broiler production (in bulk) - prices per 100 kg</v>
          </cell>
          <cell r="V205" t="str">
            <v>Complete feed for broiler production (in bulk) - prices per 100 kg</v>
          </cell>
          <cell r="W205" t="str">
            <v>Complete feed for broiler production (in bulk) - prices per 100 kg</v>
          </cell>
          <cell r="X205" t="str">
            <v>Complete feed for broiler production (in bulk) - prices per 100 kg</v>
          </cell>
        </row>
        <row r="208">
          <cell r="A208" t="str">
            <v>u1</v>
          </cell>
          <cell r="E208" t="str">
            <v>Prices per 100 items</v>
          </cell>
          <cell r="F208" t="str">
            <v>Prices per 100 items</v>
          </cell>
          <cell r="G208" t="str">
            <v>Preise je 100 Stück</v>
          </cell>
          <cell r="H208" t="str">
            <v>Prices per 100 items</v>
          </cell>
          <cell r="I208" t="str">
            <v>Prices per 100 items</v>
          </cell>
          <cell r="J208" t="str">
            <v>Prices per 100 items</v>
          </cell>
          <cell r="K208" t="str">
            <v>Prices per 100 items</v>
          </cell>
          <cell r="L208" t="str">
            <v>Prices per 100 items</v>
          </cell>
          <cell r="M208" t="str">
            <v>Prix par 100 pièces</v>
          </cell>
          <cell r="N208" t="str">
            <v>Prices per 100 items</v>
          </cell>
          <cell r="O208" t="str">
            <v>Prices per 100 items</v>
          </cell>
          <cell r="P208" t="str">
            <v>Prices per 100 items</v>
          </cell>
          <cell r="Q208" t="str">
            <v>Prices per 100 items</v>
          </cell>
          <cell r="R208" t="str">
            <v>Prices per 100 items</v>
          </cell>
          <cell r="S208" t="str">
            <v>Prices per 100 items</v>
          </cell>
          <cell r="T208" t="str">
            <v>Prices per 100 items</v>
          </cell>
          <cell r="U208" t="str">
            <v>Prices per 100 items</v>
          </cell>
          <cell r="V208" t="str">
            <v>Prices per 100 items</v>
          </cell>
          <cell r="W208" t="str">
            <v>Prices per 100 items</v>
          </cell>
          <cell r="X208" t="str">
            <v>Prices per 100 items</v>
          </cell>
        </row>
        <row r="209">
          <cell r="A209" t="str">
            <v>u10</v>
          </cell>
          <cell r="E209" t="str">
            <v>Prices per 100 kg by carcase weight</v>
          </cell>
          <cell r="F209" t="str">
            <v>Prices per 100 kg by carcase weight</v>
          </cell>
          <cell r="G209" t="str">
            <v>Preise je 100 kg Schlachtkörpergewicht</v>
          </cell>
          <cell r="H209" t="str">
            <v>Prices per 100 kg by carcase weight</v>
          </cell>
          <cell r="I209" t="str">
            <v>Prices per 100 kg by carcase weight</v>
          </cell>
          <cell r="J209" t="str">
            <v>Prices per 100 kg by carcase weight</v>
          </cell>
          <cell r="K209" t="str">
            <v>Prices per 100 kg by carcase weight</v>
          </cell>
          <cell r="L209" t="str">
            <v>Prices per 100 kg by carcase weight</v>
          </cell>
          <cell r="M209" t="str">
            <v>Prix par 100 kg de poids carcasse</v>
          </cell>
          <cell r="N209" t="str">
            <v>Prices per 100 kg by carcase weight</v>
          </cell>
          <cell r="O209" t="str">
            <v>Prices per 100 kg by carcase weight</v>
          </cell>
          <cell r="P209" t="str">
            <v>Prices per 100 kg by carcase weight</v>
          </cell>
          <cell r="Q209" t="str">
            <v>Prices per 100 kg by carcase weight</v>
          </cell>
          <cell r="R209" t="str">
            <v>Prices per 100 kg by carcase weight</v>
          </cell>
          <cell r="S209" t="str">
            <v>Prices per 100 kg by carcase weight</v>
          </cell>
          <cell r="T209" t="str">
            <v>Prices per 100 kg by carcase weight</v>
          </cell>
          <cell r="U209" t="str">
            <v>Prices per 100 kg by carcase weight</v>
          </cell>
          <cell r="V209" t="str">
            <v>Prices per 100 kg by carcase weight</v>
          </cell>
          <cell r="W209" t="str">
            <v>Prices per 100 kg by carcase weight</v>
          </cell>
          <cell r="X209" t="str">
            <v>Prices per 100 kg by carcase weight</v>
          </cell>
        </row>
        <row r="210">
          <cell r="A210" t="str">
            <v>u2</v>
          </cell>
          <cell r="E210" t="str">
            <v>Prices per 100 kg</v>
          </cell>
          <cell r="F210" t="str">
            <v>Prices per 100 kg</v>
          </cell>
          <cell r="G210" t="str">
            <v>Preise je 100 kg</v>
          </cell>
          <cell r="H210" t="str">
            <v>Prices per 100 kg</v>
          </cell>
          <cell r="I210" t="str">
            <v>Prices per 100 kg</v>
          </cell>
          <cell r="J210" t="str">
            <v>Prices per 100 kg</v>
          </cell>
          <cell r="K210" t="str">
            <v>Prices per 100 kg</v>
          </cell>
          <cell r="L210" t="str">
            <v>Prices per 100 kg</v>
          </cell>
          <cell r="M210" t="str">
            <v>Prix par 100 kg</v>
          </cell>
          <cell r="N210" t="str">
            <v>Prices per 100 kg</v>
          </cell>
          <cell r="O210" t="str">
            <v>Prices per 100 kg</v>
          </cell>
          <cell r="P210" t="str">
            <v>Prices per 100 kg</v>
          </cell>
          <cell r="Q210" t="str">
            <v>Prices per 100 kg</v>
          </cell>
          <cell r="R210" t="str">
            <v>Prices per 100 kg</v>
          </cell>
          <cell r="S210" t="str">
            <v>Prices per 100 kg</v>
          </cell>
          <cell r="T210" t="str">
            <v>Prices per 100 kg</v>
          </cell>
          <cell r="U210" t="str">
            <v>Prices per 100 kg</v>
          </cell>
          <cell r="V210" t="str">
            <v>Prices per 100 kg</v>
          </cell>
          <cell r="W210" t="str">
            <v>Prices per 100 kg</v>
          </cell>
          <cell r="X210" t="str">
            <v>Prices per 100 kg</v>
          </cell>
        </row>
        <row r="211">
          <cell r="A211" t="str">
            <v>u3</v>
          </cell>
          <cell r="E211" t="str">
            <v>Prices per 100 kg live weight</v>
          </cell>
          <cell r="F211" t="str">
            <v>Prices per 100 kg live weight</v>
          </cell>
          <cell r="G211" t="str">
            <v>Preise je 100 kg Lebendgewicht</v>
          </cell>
          <cell r="H211" t="str">
            <v>Prices per 100 kg live weight</v>
          </cell>
          <cell r="I211" t="str">
            <v>Prices per 100 kg live weight</v>
          </cell>
          <cell r="J211" t="str">
            <v>Prices per 100 kg live weight</v>
          </cell>
          <cell r="K211" t="str">
            <v>Prices per 100 kg live weight</v>
          </cell>
          <cell r="L211" t="str">
            <v>Prices per 100 kg live weight</v>
          </cell>
          <cell r="M211" t="str">
            <v>Prix par 100 kg de poids vif</v>
          </cell>
          <cell r="N211" t="str">
            <v>Prices per 100 kg live weight</v>
          </cell>
          <cell r="O211" t="str">
            <v>Prices per 100 kg live weight</v>
          </cell>
          <cell r="P211" t="str">
            <v>Prices per 100 kg live weight</v>
          </cell>
          <cell r="Q211" t="str">
            <v>Prices per 100 kg live weight</v>
          </cell>
          <cell r="R211" t="str">
            <v>Prices per 100 kg live weight</v>
          </cell>
          <cell r="S211" t="str">
            <v>Prices per 100 kg live weight</v>
          </cell>
          <cell r="T211" t="str">
            <v>Prices per 100 kg live weight</v>
          </cell>
          <cell r="U211" t="str">
            <v>Prices per 100 kg live weight</v>
          </cell>
          <cell r="V211" t="str">
            <v>Prices per 100 kg live weight</v>
          </cell>
          <cell r="W211" t="str">
            <v>Prices per 100 kg live weight</v>
          </cell>
          <cell r="X211" t="str">
            <v>Prices per 100 kg live weight</v>
          </cell>
        </row>
        <row r="212">
          <cell r="A212" t="str">
            <v>u4</v>
          </cell>
          <cell r="E212" t="str">
            <v>Prices per 100 kg merchandise</v>
          </cell>
          <cell r="F212" t="str">
            <v>Prices per 100 kg merchandise</v>
          </cell>
          <cell r="G212" t="str">
            <v>Preise je 100 kg Ware</v>
          </cell>
          <cell r="H212" t="str">
            <v>Prices per 100 kg merchandise</v>
          </cell>
          <cell r="I212" t="str">
            <v>Prices per 100 kg merchandise</v>
          </cell>
          <cell r="J212" t="str">
            <v>Prices per 100 kg merchandise</v>
          </cell>
          <cell r="K212" t="str">
            <v>Prices per 100 kg merchandise</v>
          </cell>
          <cell r="L212" t="str">
            <v>Prices per 100 kg merchandise</v>
          </cell>
          <cell r="M212" t="str">
            <v>Prix par 100 kg de marchandise</v>
          </cell>
          <cell r="N212" t="str">
            <v>Prices per 100 kg merchandise</v>
          </cell>
          <cell r="O212" t="str">
            <v>Prices per 100 kg merchandise</v>
          </cell>
          <cell r="P212" t="str">
            <v>Prices per 100 kg merchandise</v>
          </cell>
          <cell r="Q212" t="str">
            <v>Prices per 100 kg merchandise</v>
          </cell>
          <cell r="R212" t="str">
            <v>Prices per 100 kg merchandise</v>
          </cell>
          <cell r="S212" t="str">
            <v>Prices per 100 kg merchandise</v>
          </cell>
          <cell r="T212" t="str">
            <v>Prices per 100 kg merchandise</v>
          </cell>
          <cell r="U212" t="str">
            <v>Prices per 100 kg merchandise</v>
          </cell>
          <cell r="V212" t="str">
            <v>Prices per 100 kg merchandise</v>
          </cell>
          <cell r="W212" t="str">
            <v>Prices per 100 kg merchandise</v>
          </cell>
          <cell r="X212" t="str">
            <v>Prices per 100 kg merchandise</v>
          </cell>
        </row>
        <row r="213">
          <cell r="A213" t="str">
            <v>u5</v>
          </cell>
          <cell r="E213" t="str">
            <v>Prices per 100 kg of nutr. subs.</v>
          </cell>
          <cell r="F213" t="str">
            <v>Prices per 100 kg of nutr. subs.</v>
          </cell>
          <cell r="G213" t="str">
            <v>Preise je 100 kg Nährstoff</v>
          </cell>
          <cell r="H213" t="str">
            <v>Prices per 100 kg of nutr. subs.</v>
          </cell>
          <cell r="I213" t="str">
            <v>Prices per 100 kg of nutr. subs.</v>
          </cell>
          <cell r="J213" t="str">
            <v>Prices per 100 kg of nutr. subs.</v>
          </cell>
          <cell r="K213" t="str">
            <v>Prices per 100 kg of nutr. subs.</v>
          </cell>
          <cell r="L213" t="str">
            <v>Prices per 100 kg of nutr. subs.</v>
          </cell>
          <cell r="M213" t="str">
            <v>Prix par 100 kg d'éléments fertilisants</v>
          </cell>
          <cell r="N213" t="str">
            <v>Prices per 100 kg of nutr. subs.</v>
          </cell>
          <cell r="O213" t="str">
            <v>Prices per 100 kg of nutr. subs.</v>
          </cell>
          <cell r="P213" t="str">
            <v>Prices per 100 kg of nutr. subs.</v>
          </cell>
          <cell r="Q213" t="str">
            <v>Prices per 100 kg of nutr. subs.</v>
          </cell>
          <cell r="R213" t="str">
            <v>Prices per 100 kg of nutr. subs.</v>
          </cell>
          <cell r="S213" t="str">
            <v>Prices per 100 kg of nutr. subs.</v>
          </cell>
          <cell r="T213" t="str">
            <v>Prices per 100 kg of nutr. subs.</v>
          </cell>
          <cell r="U213" t="str">
            <v>Prices per 100 kg of nutr. subs.</v>
          </cell>
          <cell r="V213" t="str">
            <v>Prices per 100 kg of nutr. subs.</v>
          </cell>
          <cell r="W213" t="str">
            <v>Prices per 100 kg of nutr. subs.</v>
          </cell>
          <cell r="X213" t="str">
            <v>Prices per 100 kg of nutr. subs.</v>
          </cell>
        </row>
        <row r="214">
          <cell r="A214" t="str">
            <v>u6</v>
          </cell>
          <cell r="E214" t="str">
            <v>Prices per 100 kwh</v>
          </cell>
          <cell r="F214" t="str">
            <v>Prices per 100 kwh</v>
          </cell>
          <cell r="G214" t="str">
            <v>Preise je 100 Kwh</v>
          </cell>
          <cell r="H214" t="str">
            <v>Prices per 100 kwh</v>
          </cell>
          <cell r="I214" t="str">
            <v>Prices per 100 kwh</v>
          </cell>
          <cell r="J214" t="str">
            <v>Prices per 100 kwh</v>
          </cell>
          <cell r="K214" t="str">
            <v>Prices per 100 kwh</v>
          </cell>
          <cell r="L214" t="str">
            <v>Prices per 100 kwh</v>
          </cell>
          <cell r="M214" t="str">
            <v>Prix par 100 kwh</v>
          </cell>
          <cell r="N214" t="str">
            <v>Prices per 100 kwh</v>
          </cell>
          <cell r="O214" t="str">
            <v>Prices per 100 kwh</v>
          </cell>
          <cell r="P214" t="str">
            <v>Prices per 100 kwh</v>
          </cell>
          <cell r="Q214" t="str">
            <v>Prices per 100 kwh</v>
          </cell>
          <cell r="R214" t="str">
            <v>Prices per 100 kwh</v>
          </cell>
          <cell r="S214" t="str">
            <v>Prices per 100 kwh</v>
          </cell>
          <cell r="T214" t="str">
            <v>Prices per 100 kwh</v>
          </cell>
          <cell r="U214" t="str">
            <v>Prices per 100 kwh</v>
          </cell>
          <cell r="V214" t="str">
            <v>Prices per 100 kwh</v>
          </cell>
          <cell r="W214" t="str">
            <v>Prices per 100 kwh</v>
          </cell>
          <cell r="X214" t="str">
            <v>Prices per 100 kwh</v>
          </cell>
        </row>
        <row r="215">
          <cell r="A215" t="str">
            <v>u7</v>
          </cell>
          <cell r="E215" t="str">
            <v>Prices per 100 litres</v>
          </cell>
          <cell r="F215" t="str">
            <v>Prices per 100 litres</v>
          </cell>
          <cell r="G215" t="str">
            <v>Preise je 100 Liter</v>
          </cell>
          <cell r="H215" t="str">
            <v>Prices per 100 litres</v>
          </cell>
          <cell r="I215" t="str">
            <v>Prices per 100 litres</v>
          </cell>
          <cell r="J215" t="str">
            <v>Prices per 100 litres</v>
          </cell>
          <cell r="K215" t="str">
            <v>Prices per 100 litres</v>
          </cell>
          <cell r="L215" t="str">
            <v>Prices per 100 litres</v>
          </cell>
          <cell r="M215" t="str">
            <v>Prix par 100 litres</v>
          </cell>
          <cell r="N215" t="str">
            <v>Prices per 100 litres</v>
          </cell>
          <cell r="O215" t="str">
            <v>Prices per 100 litres</v>
          </cell>
          <cell r="P215" t="str">
            <v>Prices per 100 litres</v>
          </cell>
          <cell r="Q215" t="str">
            <v>Prices per 100 litres</v>
          </cell>
          <cell r="R215" t="str">
            <v>Prices per 100 litres</v>
          </cell>
          <cell r="S215" t="str">
            <v>Prices per 100 litres</v>
          </cell>
          <cell r="T215" t="str">
            <v>Prices per 100 litres</v>
          </cell>
          <cell r="U215" t="str">
            <v>Prices per 100 litres</v>
          </cell>
          <cell r="V215" t="str">
            <v>Prices per 100 litres</v>
          </cell>
          <cell r="W215" t="str">
            <v>Prices per 100 litres</v>
          </cell>
          <cell r="X215" t="str">
            <v>Prices per 100 litres</v>
          </cell>
        </row>
        <row r="216">
          <cell r="A216" t="str">
            <v>u8</v>
          </cell>
          <cell r="E216" t="str">
            <v>Prices per 1000 kg</v>
          </cell>
          <cell r="F216" t="str">
            <v>Prices per 1000 kg</v>
          </cell>
          <cell r="G216" t="str">
            <v>Preise je 1000 kg</v>
          </cell>
          <cell r="H216" t="str">
            <v>Prices per 1000 kg</v>
          </cell>
          <cell r="I216" t="str">
            <v>Prices per 1000 kg</v>
          </cell>
          <cell r="J216" t="str">
            <v>Prices per 1000 kg</v>
          </cell>
          <cell r="K216" t="str">
            <v>Prices per 1000 kg</v>
          </cell>
          <cell r="L216" t="str">
            <v>Prices per 1000 kg</v>
          </cell>
          <cell r="M216" t="str">
            <v>Prix par 1000 kg</v>
          </cell>
          <cell r="N216" t="str">
            <v>Prices per 1000 kg</v>
          </cell>
          <cell r="O216" t="str">
            <v>Prices per 1000 kg</v>
          </cell>
          <cell r="P216" t="str">
            <v>Prices per 1000 kg</v>
          </cell>
          <cell r="Q216" t="str">
            <v>Prices per 1000 kg</v>
          </cell>
          <cell r="R216" t="str">
            <v>Prices per 1000 kg</v>
          </cell>
          <cell r="S216" t="str">
            <v>Prices per 1000 kg</v>
          </cell>
          <cell r="T216" t="str">
            <v>Prices per 1000 kg</v>
          </cell>
          <cell r="U216" t="str">
            <v>Prices per 1000 kg</v>
          </cell>
          <cell r="V216" t="str">
            <v>Prices per 1000 kg</v>
          </cell>
          <cell r="W216" t="str">
            <v>Prices per 1000 kg</v>
          </cell>
          <cell r="X216" t="str">
            <v>Prices per 1000 kg</v>
          </cell>
        </row>
        <row r="217">
          <cell r="A217" t="str">
            <v>u9</v>
          </cell>
          <cell r="E217" t="str">
            <v>Prices per head</v>
          </cell>
          <cell r="F217" t="str">
            <v>Prices per head</v>
          </cell>
          <cell r="G217" t="str">
            <v>Preise je Stück</v>
          </cell>
          <cell r="H217" t="str">
            <v>Prices per head</v>
          </cell>
          <cell r="I217" t="str">
            <v>Prices per head</v>
          </cell>
          <cell r="J217" t="str">
            <v>Prices per head</v>
          </cell>
          <cell r="K217" t="str">
            <v>Prices per head</v>
          </cell>
          <cell r="L217" t="str">
            <v>Prices per head</v>
          </cell>
          <cell r="M217" t="str">
            <v>Prix par tête</v>
          </cell>
          <cell r="N217" t="str">
            <v>Prices per head</v>
          </cell>
          <cell r="O217" t="str">
            <v>Prices per head</v>
          </cell>
          <cell r="P217" t="str">
            <v>Prices per head</v>
          </cell>
          <cell r="Q217" t="str">
            <v>Prices per head</v>
          </cell>
          <cell r="R217" t="str">
            <v>Prices per head</v>
          </cell>
          <cell r="S217" t="str">
            <v>Prices per head</v>
          </cell>
          <cell r="T217" t="str">
            <v>Prices per head</v>
          </cell>
          <cell r="U217" t="str">
            <v>Prices per head</v>
          </cell>
          <cell r="V217" t="str">
            <v>Prices per head</v>
          </cell>
          <cell r="W217" t="str">
            <v>Prices per head</v>
          </cell>
          <cell r="X217" t="str">
            <v>Prices per head</v>
          </cell>
        </row>
        <row r="220">
          <cell r="A220" t="str">
            <v>t1</v>
          </cell>
          <cell r="E220" t="str">
            <v>Annual Agricultural Absolute Prices</v>
          </cell>
          <cell r="F220" t="str">
            <v>Annual Agricultural Absolute Prices</v>
          </cell>
          <cell r="G220" t="str">
            <v>Jahrliche Agrarpreisreihen</v>
          </cell>
          <cell r="H220" t="str">
            <v>Annual Agricultural Absolute Prices</v>
          </cell>
          <cell r="I220" t="str">
            <v>Annual Agricultural Absolute Prices</v>
          </cell>
          <cell r="J220" t="str">
            <v>Annual Agricultural Absolute Prices</v>
          </cell>
          <cell r="K220" t="str">
            <v>Annual Agricultural Absolute Prices</v>
          </cell>
          <cell r="L220" t="str">
            <v>Annual Agricultural Absolute Prices</v>
          </cell>
          <cell r="M220" t="str">
            <v>Prix annuels agricoles absolus</v>
          </cell>
          <cell r="N220" t="str">
            <v>Annual Agricultural Absolute Prices</v>
          </cell>
          <cell r="O220" t="str">
            <v>Annual Agricultural Absolute Prices</v>
          </cell>
          <cell r="P220" t="str">
            <v>Annual Agricultural Absolute Prices</v>
          </cell>
          <cell r="Q220" t="str">
            <v>Annual Agricultural Absolute Prices</v>
          </cell>
          <cell r="R220" t="str">
            <v>Annual Agricultural Absolute Prices</v>
          </cell>
          <cell r="S220" t="str">
            <v>Annual Agricultural Absolute Prices</v>
          </cell>
          <cell r="T220" t="str">
            <v>Annual Agricultural Absolute Prices</v>
          </cell>
          <cell r="U220" t="str">
            <v>Annual Agricultural Absolute Prices</v>
          </cell>
          <cell r="V220" t="str">
            <v>Annual Agricultural Absolute Prices</v>
          </cell>
          <cell r="W220" t="str">
            <v>Annual Agricultural Absolute Prices</v>
          </cell>
          <cell r="X220" t="str">
            <v>Annual Agricultural Absolute Prices</v>
          </cell>
        </row>
        <row r="221">
          <cell r="A221" t="str">
            <v>t2</v>
          </cell>
          <cell r="E221" t="str">
            <v>OUTPUT PRODUCTS</v>
          </cell>
          <cell r="F221" t="str">
            <v>OUTPUT PRODUCTS</v>
          </cell>
          <cell r="G221" t="str">
            <v>PRODUKTE OUTPUT</v>
          </cell>
          <cell r="H221" t="str">
            <v>OUTPUT PRODUCTS</v>
          </cell>
          <cell r="I221" t="str">
            <v>OUTPUT PRODUCTS</v>
          </cell>
          <cell r="J221" t="str">
            <v>OUTPUT PRODUCTS</v>
          </cell>
          <cell r="K221" t="str">
            <v>OUTPUT PRODUCTS</v>
          </cell>
          <cell r="L221" t="str">
            <v>OUTPUT PRODUCTS</v>
          </cell>
          <cell r="M221" t="str">
            <v>PRODUITS OUTPUT</v>
          </cell>
          <cell r="N221" t="str">
            <v>OUTPUT PRODUCTS</v>
          </cell>
          <cell r="O221" t="str">
            <v>OUTPUT PRODUCTS</v>
          </cell>
          <cell r="P221" t="str">
            <v>OUTPUT PRODUCTS</v>
          </cell>
          <cell r="Q221" t="str">
            <v>OUTPUT PRODUCTS</v>
          </cell>
          <cell r="R221" t="str">
            <v>OUTPUT PRODUCTS</v>
          </cell>
          <cell r="S221" t="str">
            <v>OUTPUT PRODUCTS</v>
          </cell>
          <cell r="T221" t="str">
            <v>OUTPUT PRODUCTS</v>
          </cell>
          <cell r="U221" t="str">
            <v>OUTPUT PRODUCTS</v>
          </cell>
          <cell r="V221" t="str">
            <v>OUTPUT PRODUCTS</v>
          </cell>
          <cell r="W221" t="str">
            <v>OUTPUT PRODUCTS</v>
          </cell>
          <cell r="X221" t="str">
            <v>OUTPUT PRODUCTS</v>
          </cell>
        </row>
        <row r="222">
          <cell r="A222" t="str">
            <v>t3</v>
          </cell>
          <cell r="E222" t="str">
            <v>INPUT PRODUCTS</v>
          </cell>
          <cell r="F222" t="str">
            <v>INPUT PRODUCTS</v>
          </cell>
          <cell r="G222" t="str">
            <v>PRODUKTE INPUT</v>
          </cell>
          <cell r="H222" t="str">
            <v>INPUT PRODUCTS</v>
          </cell>
          <cell r="I222" t="str">
            <v>INPUT PRODUCTS</v>
          </cell>
          <cell r="J222" t="str">
            <v>INPUT PRODUCTS</v>
          </cell>
          <cell r="K222" t="str">
            <v>INPUT PRODUCTS</v>
          </cell>
          <cell r="L222" t="str">
            <v>INPUT PRODUCTS</v>
          </cell>
          <cell r="M222" t="str">
            <v>PRODUITS INPUT</v>
          </cell>
          <cell r="N222" t="str">
            <v>INPUT PRODUCTS</v>
          </cell>
          <cell r="O222" t="str">
            <v>INPUT PRODUCTS</v>
          </cell>
          <cell r="P222" t="str">
            <v>INPUT PRODUCTS</v>
          </cell>
          <cell r="Q222" t="str">
            <v>INPUT PRODUCTS</v>
          </cell>
          <cell r="R222" t="str">
            <v>INPUT PRODUCTS</v>
          </cell>
          <cell r="S222" t="str">
            <v>INPUT PRODUCTS</v>
          </cell>
          <cell r="T222" t="str">
            <v>INPUT PRODUCTS</v>
          </cell>
          <cell r="U222" t="str">
            <v>INPUT PRODUCTS</v>
          </cell>
          <cell r="V222" t="str">
            <v>INPUT PRODUCTS</v>
          </cell>
          <cell r="W222" t="str">
            <v>INPUT PRODUCTS</v>
          </cell>
          <cell r="X222" t="str">
            <v>INPUT PRODUCTS</v>
          </cell>
        </row>
        <row r="223">
          <cell r="A223" t="str">
            <v>t4</v>
          </cell>
          <cell r="E223" t="str">
            <v>Country:</v>
          </cell>
          <cell r="F223" t="str">
            <v>Country:</v>
          </cell>
          <cell r="G223" t="str">
            <v>Staat :</v>
          </cell>
          <cell r="H223" t="str">
            <v>Country:</v>
          </cell>
          <cell r="I223" t="str">
            <v>Country:</v>
          </cell>
          <cell r="J223" t="str">
            <v>Country:</v>
          </cell>
          <cell r="K223" t="str">
            <v>Country:</v>
          </cell>
          <cell r="L223" t="str">
            <v>Country:</v>
          </cell>
          <cell r="M223" t="str">
            <v>Pays :</v>
          </cell>
          <cell r="N223" t="str">
            <v>Country:</v>
          </cell>
          <cell r="O223" t="str">
            <v>Country:</v>
          </cell>
          <cell r="P223" t="str">
            <v>Country:</v>
          </cell>
          <cell r="Q223" t="str">
            <v>Country:</v>
          </cell>
          <cell r="R223" t="str">
            <v>Country:</v>
          </cell>
          <cell r="S223" t="str">
            <v>Country:</v>
          </cell>
          <cell r="T223" t="str">
            <v>Country:</v>
          </cell>
          <cell r="U223" t="str">
            <v>Country:</v>
          </cell>
          <cell r="V223" t="str">
            <v>Country:</v>
          </cell>
          <cell r="W223" t="str">
            <v>Country:</v>
          </cell>
          <cell r="X223" t="str">
            <v>Country:</v>
          </cell>
        </row>
        <row r="224">
          <cell r="A224" t="str">
            <v>t5</v>
          </cell>
          <cell r="E224" t="str">
            <v>Groups of products</v>
          </cell>
          <cell r="F224" t="str">
            <v>Groups of products</v>
          </cell>
          <cell r="G224" t="str">
            <v>Produkts-gruppe</v>
          </cell>
          <cell r="H224" t="str">
            <v>Groups of products</v>
          </cell>
          <cell r="I224" t="str">
            <v>Groups of products</v>
          </cell>
          <cell r="J224" t="str">
            <v>Groups of products</v>
          </cell>
          <cell r="K224" t="str">
            <v>Groups of products</v>
          </cell>
          <cell r="L224" t="str">
            <v>Groups of products</v>
          </cell>
          <cell r="M224" t="str">
            <v>Groupes de produits</v>
          </cell>
          <cell r="N224" t="str">
            <v>Groups of products</v>
          </cell>
          <cell r="O224" t="str">
            <v>Groups of products</v>
          </cell>
          <cell r="P224" t="str">
            <v>Groups of products</v>
          </cell>
          <cell r="Q224" t="str">
            <v>Groups of products</v>
          </cell>
          <cell r="R224" t="str">
            <v>Groups of products</v>
          </cell>
          <cell r="S224" t="str">
            <v>Groups of products</v>
          </cell>
          <cell r="T224" t="str">
            <v>Groups of products</v>
          </cell>
          <cell r="U224" t="str">
            <v>Groups of products</v>
          </cell>
          <cell r="V224" t="str">
            <v>Groups of products</v>
          </cell>
          <cell r="W224" t="str">
            <v>Groups of products</v>
          </cell>
          <cell r="X224" t="str">
            <v>Groups of products</v>
          </cell>
        </row>
        <row r="225">
          <cell r="A225" t="str">
            <v>t6</v>
          </cell>
          <cell r="E225" t="str">
            <v>New code</v>
          </cell>
          <cell r="F225" t="str">
            <v>New code</v>
          </cell>
          <cell r="G225" t="str">
            <v>Neue Kode</v>
          </cell>
          <cell r="H225" t="str">
            <v>New code</v>
          </cell>
          <cell r="I225" t="str">
            <v>New code</v>
          </cell>
          <cell r="J225" t="str">
            <v>New code</v>
          </cell>
          <cell r="K225" t="str">
            <v>New code</v>
          </cell>
          <cell r="L225" t="str">
            <v>New code</v>
          </cell>
          <cell r="M225" t="str">
            <v>Nou-veau code</v>
          </cell>
          <cell r="N225" t="str">
            <v>New code</v>
          </cell>
          <cell r="O225" t="str">
            <v>New code</v>
          </cell>
          <cell r="P225" t="str">
            <v>New code</v>
          </cell>
          <cell r="Q225" t="str">
            <v>New code</v>
          </cell>
          <cell r="R225" t="str">
            <v>New code</v>
          </cell>
          <cell r="S225" t="str">
            <v>New code</v>
          </cell>
          <cell r="T225" t="str">
            <v>New code</v>
          </cell>
          <cell r="U225" t="str">
            <v>New code</v>
          </cell>
          <cell r="V225" t="str">
            <v>New code</v>
          </cell>
          <cell r="W225" t="str">
            <v>New code</v>
          </cell>
          <cell r="X225" t="str">
            <v>New code</v>
          </cell>
        </row>
        <row r="226">
          <cell r="A226" t="str">
            <v>t7</v>
          </cell>
          <cell r="E226" t="str">
            <v>COMMENTS related to the API/EAA classification</v>
          </cell>
          <cell r="F226" t="str">
            <v>COMMENTS related to the API/EAA classification</v>
          </cell>
          <cell r="G226" t="str">
            <v>KOMMENTAR - API/EAA Klassification</v>
          </cell>
          <cell r="H226" t="str">
            <v>COMMENTS related to the API/EAA classification</v>
          </cell>
          <cell r="I226" t="str">
            <v>COMMENTS related to the API/EAA classification</v>
          </cell>
          <cell r="J226" t="str">
            <v>COMMENTS related to the API/EAA classification</v>
          </cell>
          <cell r="K226" t="str">
            <v>COMMENTS related to the API/EAA classification</v>
          </cell>
          <cell r="L226" t="str">
            <v>COMMENTS related to the API/EAA classification</v>
          </cell>
          <cell r="M226" t="str">
            <v>Commentaires relatifs à la classification API/CEA</v>
          </cell>
          <cell r="N226" t="str">
            <v>COMMENTS related to the API/EAA classification</v>
          </cell>
          <cell r="O226" t="str">
            <v>COMMENTS related to the API/EAA classification</v>
          </cell>
          <cell r="P226" t="str">
            <v>COMMENTS related to the API/EAA classification</v>
          </cell>
          <cell r="Q226" t="str">
            <v>COMMENTS related to the API/EAA classification</v>
          </cell>
          <cell r="R226" t="str">
            <v>COMMENTS related to the API/EAA classification</v>
          </cell>
          <cell r="S226" t="str">
            <v>COMMENTS related to the API/EAA classification</v>
          </cell>
          <cell r="T226" t="str">
            <v>COMMENTS related to the API/EAA classification</v>
          </cell>
          <cell r="U226" t="str">
            <v>COMMENTS related to the API/EAA classification</v>
          </cell>
          <cell r="V226" t="str">
            <v>COMMENTS related to the API/EAA classification</v>
          </cell>
          <cell r="W226" t="str">
            <v>COMMENTS related to the API/EAA classification</v>
          </cell>
          <cell r="X226" t="str">
            <v>COMMENTS related to the API/EAA classification</v>
          </cell>
        </row>
        <row r="227">
          <cell r="A227" t="str">
            <v>t8</v>
          </cell>
          <cell r="E227" t="str">
            <v>Product</v>
          </cell>
          <cell r="F227" t="str">
            <v>Product</v>
          </cell>
          <cell r="G227" t="str">
            <v>Produkt</v>
          </cell>
          <cell r="H227" t="str">
            <v>Product</v>
          </cell>
          <cell r="I227" t="str">
            <v>Product</v>
          </cell>
          <cell r="J227" t="str">
            <v>Product</v>
          </cell>
          <cell r="K227" t="str">
            <v>Product</v>
          </cell>
          <cell r="L227" t="str">
            <v>Product</v>
          </cell>
          <cell r="M227" t="str">
            <v>Produit</v>
          </cell>
          <cell r="N227" t="str">
            <v>Product</v>
          </cell>
          <cell r="O227" t="str">
            <v>Product</v>
          </cell>
          <cell r="P227" t="str">
            <v>Product</v>
          </cell>
          <cell r="Q227" t="str">
            <v>Product</v>
          </cell>
          <cell r="R227" t="str">
            <v>Product</v>
          </cell>
          <cell r="S227" t="str">
            <v>Product</v>
          </cell>
          <cell r="T227" t="str">
            <v>Product</v>
          </cell>
          <cell r="U227" t="str">
            <v>Product</v>
          </cell>
          <cell r="V227" t="str">
            <v>Product</v>
          </cell>
          <cell r="W227" t="str">
            <v>Product</v>
          </cell>
          <cell r="X227" t="str">
            <v>Product</v>
          </cell>
        </row>
        <row r="228">
          <cell r="A228" t="str">
            <v>t9</v>
          </cell>
          <cell r="E228" t="str">
            <v>Unit</v>
          </cell>
          <cell r="F228" t="str">
            <v>Unit</v>
          </cell>
          <cell r="G228" t="str">
            <v>Einheit</v>
          </cell>
          <cell r="H228" t="str">
            <v>Unit</v>
          </cell>
          <cell r="I228" t="str">
            <v>Unit</v>
          </cell>
          <cell r="J228" t="str">
            <v>Unit</v>
          </cell>
          <cell r="K228" t="str">
            <v>Unit</v>
          </cell>
          <cell r="L228" t="str">
            <v>Unit</v>
          </cell>
          <cell r="M228" t="str">
            <v>Unité</v>
          </cell>
          <cell r="N228" t="str">
            <v>Unit</v>
          </cell>
          <cell r="O228" t="str">
            <v>Unit</v>
          </cell>
          <cell r="P228" t="str">
            <v>Unit</v>
          </cell>
          <cell r="Q228" t="str">
            <v>Unit</v>
          </cell>
          <cell r="R228" t="str">
            <v>Unit</v>
          </cell>
          <cell r="S228" t="str">
            <v>Unit</v>
          </cell>
          <cell r="T228" t="str">
            <v>Unit</v>
          </cell>
          <cell r="U228" t="str">
            <v>Unit</v>
          </cell>
          <cell r="V228" t="str">
            <v>Unit</v>
          </cell>
          <cell r="W228" t="str">
            <v>Unit</v>
          </cell>
          <cell r="X228" t="str">
            <v>Unit</v>
          </cell>
        </row>
        <row r="229">
          <cell r="A229" t="str">
            <v>t10</v>
          </cell>
          <cell r="E229" t="str">
            <v>Year</v>
          </cell>
          <cell r="F229" t="str">
            <v>Year</v>
          </cell>
          <cell r="G229" t="str">
            <v>Jahr :</v>
          </cell>
          <cell r="H229" t="str">
            <v>Year</v>
          </cell>
          <cell r="I229" t="str">
            <v>Year</v>
          </cell>
          <cell r="J229" t="str">
            <v>Year</v>
          </cell>
          <cell r="K229" t="str">
            <v>Year</v>
          </cell>
          <cell r="L229" t="str">
            <v>Year</v>
          </cell>
          <cell r="M229" t="str">
            <v>Année</v>
          </cell>
          <cell r="N229" t="str">
            <v>Year</v>
          </cell>
          <cell r="O229" t="str">
            <v>Year</v>
          </cell>
          <cell r="P229" t="str">
            <v>Year</v>
          </cell>
          <cell r="Q229" t="str">
            <v>Year</v>
          </cell>
          <cell r="R229" t="str">
            <v>Year</v>
          </cell>
          <cell r="S229" t="str">
            <v>Year</v>
          </cell>
          <cell r="T229" t="str">
            <v>Year</v>
          </cell>
          <cell r="U229" t="str">
            <v>Year</v>
          </cell>
          <cell r="V229" t="str">
            <v>Year</v>
          </cell>
          <cell r="W229" t="str">
            <v>Year</v>
          </cell>
          <cell r="X229" t="str">
            <v>Year</v>
          </cell>
        </row>
        <row r="230">
          <cell r="A230" t="str">
            <v>t11</v>
          </cell>
          <cell r="E230" t="str">
            <v>ENERGY AND LUBRICANTS</v>
          </cell>
          <cell r="F230" t="str">
            <v>ENERGY AND LUBRICANTS</v>
          </cell>
          <cell r="G230" t="str">
            <v>Kraftstoffe - Schmiermittel</v>
          </cell>
          <cell r="H230" t="str">
            <v>ENERGY AND LUBRICANTS</v>
          </cell>
          <cell r="I230" t="str">
            <v>ENERGY AND LUBRICANTS</v>
          </cell>
          <cell r="J230" t="str">
            <v>ENERGY AND LUBRICANTS</v>
          </cell>
          <cell r="K230" t="str">
            <v>ENERGY AND LUBRICANTS</v>
          </cell>
          <cell r="L230" t="str">
            <v>ENERGY AND LUBRICANTS</v>
          </cell>
          <cell r="M230" t="str">
            <v>Energie et lubrifiants</v>
          </cell>
          <cell r="N230" t="str">
            <v>ENERGY AND LUBRICANTS</v>
          </cell>
          <cell r="O230" t="str">
            <v>ENERGY AND LUBRICANTS</v>
          </cell>
          <cell r="P230" t="str">
            <v>ENERGY AND LUBRICANTS</v>
          </cell>
          <cell r="Q230" t="str">
            <v>ENERGY AND LUBRICANTS</v>
          </cell>
          <cell r="R230" t="str">
            <v>ENERGY AND LUBRICANTS</v>
          </cell>
          <cell r="S230" t="str">
            <v>ENERGY AND LUBRICANTS</v>
          </cell>
          <cell r="T230" t="str">
            <v>ENERGY AND LUBRICANTS</v>
          </cell>
          <cell r="U230" t="str">
            <v>ENERGY AND LUBRICANTS</v>
          </cell>
          <cell r="V230" t="str">
            <v>ENERGY AND LUBRICANTS</v>
          </cell>
          <cell r="W230" t="str">
            <v>ENERGY AND LUBRICANTS</v>
          </cell>
          <cell r="X230" t="str">
            <v>ENERGY AND LUBRICANTS</v>
          </cell>
        </row>
        <row r="231">
          <cell r="A231" t="str">
            <v>t12</v>
          </cell>
          <cell r="E231" t="str">
            <v>FERTILISERS AND SOIL IMPROVERS</v>
          </cell>
          <cell r="F231" t="str">
            <v>FERTILISERS AND SOIL IMPROVERS</v>
          </cell>
          <cell r="G231" t="str">
            <v>Stoffdünger</v>
          </cell>
          <cell r="H231" t="str">
            <v>FERTILISERS AND SOIL IMPROVERS</v>
          </cell>
          <cell r="I231" t="str">
            <v>FERTILISERS AND SOIL IMPROVERS</v>
          </cell>
          <cell r="J231" t="str">
            <v>FERTILISERS AND SOIL IMPROVERS</v>
          </cell>
          <cell r="K231" t="str">
            <v>FERTILISERS AND SOIL IMPROVERS</v>
          </cell>
          <cell r="L231" t="str">
            <v>FERTILISERS AND SOIL IMPROVERS</v>
          </cell>
          <cell r="M231" t="str">
            <v>Engrais et fertilisants</v>
          </cell>
          <cell r="N231" t="str">
            <v>FERTILISERS AND SOIL IMPROVERS</v>
          </cell>
          <cell r="O231" t="str">
            <v>FERTILISERS AND SOIL IMPROVERS</v>
          </cell>
          <cell r="P231" t="str">
            <v>FERTILISERS AND SOIL IMPROVERS</v>
          </cell>
          <cell r="Q231" t="str">
            <v>FERTILISERS AND SOIL IMPROVERS</v>
          </cell>
          <cell r="R231" t="str">
            <v>FERTILISERS AND SOIL IMPROVERS</v>
          </cell>
          <cell r="S231" t="str">
            <v>FERTILISERS AND SOIL IMPROVERS</v>
          </cell>
          <cell r="T231" t="str">
            <v>FERTILISERS AND SOIL IMPROVERS</v>
          </cell>
          <cell r="U231" t="str">
            <v>FERTILISERS AND SOIL IMPROVERS</v>
          </cell>
          <cell r="V231" t="str">
            <v>FERTILISERS AND SOIL IMPROVERS</v>
          </cell>
          <cell r="W231" t="str">
            <v>FERTILISERS AND SOIL IMPROVERS</v>
          </cell>
          <cell r="X231" t="str">
            <v>FERTILISERS AND SOIL IMPROVERS</v>
          </cell>
        </row>
        <row r="232">
          <cell r="A232" t="str">
            <v>t13</v>
          </cell>
          <cell r="E232" t="str">
            <v>ANIMAL FEEDINGSTUFFS</v>
          </cell>
          <cell r="F232" t="str">
            <v>ANIMAL FEEDINGSTUFFS</v>
          </cell>
          <cell r="G232" t="str">
            <v>Futtermittel</v>
          </cell>
          <cell r="H232" t="str">
            <v>ANIMAL FEEDINGSTUFFS</v>
          </cell>
          <cell r="I232" t="str">
            <v>ANIMAL FEEDINGSTUFFS</v>
          </cell>
          <cell r="J232" t="str">
            <v>ANIMAL FEEDINGSTUFFS</v>
          </cell>
          <cell r="K232" t="str">
            <v>ANIMAL FEEDINGSTUFFS</v>
          </cell>
          <cell r="L232" t="str">
            <v>ANIMAL FEEDINGSTUFFS</v>
          </cell>
          <cell r="M232" t="str">
            <v>Aliments pour animaux</v>
          </cell>
          <cell r="N232" t="str">
            <v>ANIMAL FEEDINGSTUFFS</v>
          </cell>
          <cell r="O232" t="str">
            <v>ANIMAL FEEDINGSTUFFS</v>
          </cell>
          <cell r="P232" t="str">
            <v>ANIMAL FEEDINGSTUFFS</v>
          </cell>
          <cell r="Q232" t="str">
            <v>ANIMAL FEEDINGSTUFFS</v>
          </cell>
          <cell r="R232" t="str">
            <v>ANIMAL FEEDINGSTUFFS</v>
          </cell>
          <cell r="S232" t="str">
            <v>ANIMAL FEEDINGSTUFFS</v>
          </cell>
          <cell r="T232" t="str">
            <v>ANIMAL FEEDINGSTUFFS</v>
          </cell>
          <cell r="U232" t="str">
            <v>ANIMAL FEEDINGSTUFFS</v>
          </cell>
          <cell r="V232" t="str">
            <v>ANIMAL FEEDINGSTUFFS</v>
          </cell>
          <cell r="W232" t="str">
            <v>ANIMAL FEEDINGSTUFFS</v>
          </cell>
          <cell r="X232" t="str">
            <v>ANIMAL FEEDINGSTUFFS</v>
          </cell>
        </row>
        <row r="233">
          <cell r="A233" t="str">
            <v>t14</v>
          </cell>
          <cell r="E233" t="str">
            <v>CEREALS</v>
          </cell>
          <cell r="F233" t="str">
            <v>CEREALS</v>
          </cell>
          <cell r="G233" t="str">
            <v>Getreide</v>
          </cell>
          <cell r="H233" t="str">
            <v>CEREALS</v>
          </cell>
          <cell r="I233" t="str">
            <v>CEREALS</v>
          </cell>
          <cell r="J233" t="str">
            <v>CEREALS</v>
          </cell>
          <cell r="K233" t="str">
            <v>CEREALS</v>
          </cell>
          <cell r="L233" t="str">
            <v>CEREALS</v>
          </cell>
          <cell r="M233" t="str">
            <v>Céréales</v>
          </cell>
          <cell r="N233" t="str">
            <v>CEREALS</v>
          </cell>
          <cell r="O233" t="str">
            <v>CEREALS</v>
          </cell>
          <cell r="P233" t="str">
            <v>CEREALS</v>
          </cell>
          <cell r="Q233" t="str">
            <v>CEREALS</v>
          </cell>
          <cell r="R233" t="str">
            <v>CEREALS</v>
          </cell>
          <cell r="S233" t="str">
            <v>CEREALS</v>
          </cell>
          <cell r="T233" t="str">
            <v>CEREALS</v>
          </cell>
          <cell r="U233" t="str">
            <v>CEREALS</v>
          </cell>
          <cell r="V233" t="str">
            <v>CEREALS</v>
          </cell>
          <cell r="W233" t="str">
            <v>CEREALS</v>
          </cell>
          <cell r="X233" t="str">
            <v>CEREALS</v>
          </cell>
        </row>
        <row r="234">
          <cell r="A234" t="str">
            <v>t15</v>
          </cell>
          <cell r="E234" t="str">
            <v>INDUSTRIAL CROPS</v>
          </cell>
          <cell r="F234" t="str">
            <v>INDUSTRIAL CROPS</v>
          </cell>
          <cell r="G234" t="str">
            <v>Handelsgewächse</v>
          </cell>
          <cell r="H234" t="str">
            <v>INDUSTRIAL CROPS</v>
          </cell>
          <cell r="I234" t="str">
            <v>INDUSTRIAL CROPS</v>
          </cell>
          <cell r="J234" t="str">
            <v>INDUSTRIAL CROPS</v>
          </cell>
          <cell r="K234" t="str">
            <v>INDUSTRIAL CROPS</v>
          </cell>
          <cell r="L234" t="str">
            <v>INDUSTRIAL CROPS</v>
          </cell>
          <cell r="M234" t="str">
            <v>Cultures industrielles</v>
          </cell>
          <cell r="N234" t="str">
            <v>INDUSTRIAL CROPS</v>
          </cell>
          <cell r="O234" t="str">
            <v>INDUSTRIAL CROPS</v>
          </cell>
          <cell r="P234" t="str">
            <v>INDUSTRIAL CROPS</v>
          </cell>
          <cell r="Q234" t="str">
            <v>INDUSTRIAL CROPS</v>
          </cell>
          <cell r="R234" t="str">
            <v>INDUSTRIAL CROPS</v>
          </cell>
          <cell r="S234" t="str">
            <v>INDUSTRIAL CROPS</v>
          </cell>
          <cell r="T234" t="str">
            <v>INDUSTRIAL CROPS</v>
          </cell>
          <cell r="U234" t="str">
            <v>INDUSTRIAL CROPS</v>
          </cell>
          <cell r="V234" t="str">
            <v>INDUSTRIAL CROPS</v>
          </cell>
          <cell r="W234" t="str">
            <v>INDUSTRIAL CROPS</v>
          </cell>
          <cell r="X234" t="str">
            <v>INDUSTRIAL CROPS</v>
          </cell>
        </row>
        <row r="235">
          <cell r="A235" t="str">
            <v>t16</v>
          </cell>
          <cell r="E235" t="str">
            <v>FRESH VEGETABLES</v>
          </cell>
          <cell r="F235" t="str">
            <v>FRESH VEGETABLES</v>
          </cell>
          <cell r="G235" t="str">
            <v>Frische Gemüse</v>
          </cell>
          <cell r="H235" t="str">
            <v>FRESH VEGETABLES</v>
          </cell>
          <cell r="I235" t="str">
            <v>FRESH VEGETABLES</v>
          </cell>
          <cell r="J235" t="str">
            <v>FRESH VEGETABLES</v>
          </cell>
          <cell r="K235" t="str">
            <v>FRESH VEGETABLES</v>
          </cell>
          <cell r="L235" t="str">
            <v>FRESH VEGETABLES</v>
          </cell>
          <cell r="M235" t="str">
            <v>Légumes frais</v>
          </cell>
          <cell r="N235" t="str">
            <v>FRESH VEGETABLES</v>
          </cell>
          <cell r="O235" t="str">
            <v>FRESH VEGETABLES</v>
          </cell>
          <cell r="P235" t="str">
            <v>FRESH VEGETABLES</v>
          </cell>
          <cell r="Q235" t="str">
            <v>FRESH VEGETABLES</v>
          </cell>
          <cell r="R235" t="str">
            <v>FRESH VEGETABLES</v>
          </cell>
          <cell r="S235" t="str">
            <v>FRESH VEGETABLES</v>
          </cell>
          <cell r="T235" t="str">
            <v>FRESH VEGETABLES</v>
          </cell>
          <cell r="U235" t="str">
            <v>FRESH VEGETABLES</v>
          </cell>
          <cell r="V235" t="str">
            <v>FRESH VEGETABLES</v>
          </cell>
          <cell r="W235" t="str">
            <v>FRESH VEGETABLES</v>
          </cell>
          <cell r="X235" t="str">
            <v>FRESH VEGETABLES</v>
          </cell>
        </row>
        <row r="236">
          <cell r="A236" t="str">
            <v>t17</v>
          </cell>
          <cell r="E236" t="str">
            <v>Plants and flowers</v>
          </cell>
          <cell r="F236" t="str">
            <v>Plants and flowers</v>
          </cell>
          <cell r="G236" t="str">
            <v>Pflanze und Blumen</v>
          </cell>
          <cell r="H236" t="str">
            <v>Plants and flowers</v>
          </cell>
          <cell r="I236" t="str">
            <v>Plants and flowers</v>
          </cell>
          <cell r="J236" t="str">
            <v>Plants and flowers</v>
          </cell>
          <cell r="K236" t="str">
            <v>Plants and flowers</v>
          </cell>
          <cell r="L236" t="str">
            <v>Plants and flowers</v>
          </cell>
          <cell r="M236" t="str">
            <v>Plantes et freurs</v>
          </cell>
          <cell r="N236" t="str">
            <v>Plants and flowers</v>
          </cell>
          <cell r="O236" t="str">
            <v>Plants and flowers</v>
          </cell>
          <cell r="P236" t="str">
            <v>Plants and flowers</v>
          </cell>
          <cell r="Q236" t="str">
            <v>Plants and flowers</v>
          </cell>
          <cell r="R236" t="str">
            <v>Plants and flowers</v>
          </cell>
          <cell r="S236" t="str">
            <v>Plants and flowers</v>
          </cell>
          <cell r="T236" t="str">
            <v>Plants and flowers</v>
          </cell>
          <cell r="U236" t="str">
            <v>Plants and flowers</v>
          </cell>
          <cell r="V236" t="str">
            <v>Plants and flowers</v>
          </cell>
          <cell r="W236" t="str">
            <v>Plants and flowers</v>
          </cell>
          <cell r="X236" t="str">
            <v>Plants and flowers</v>
          </cell>
        </row>
        <row r="237">
          <cell r="A237" t="str">
            <v>t18</v>
          </cell>
          <cell r="E237" t="str">
            <v>Potatoes</v>
          </cell>
          <cell r="F237" t="str">
            <v>Potatoes</v>
          </cell>
          <cell r="G237" t="str">
            <v>Karttofeln</v>
          </cell>
          <cell r="H237" t="str">
            <v>Potatoes</v>
          </cell>
          <cell r="I237" t="str">
            <v>Potatoes</v>
          </cell>
          <cell r="J237" t="str">
            <v>Potatoes</v>
          </cell>
          <cell r="K237" t="str">
            <v>Potatoes</v>
          </cell>
          <cell r="L237" t="str">
            <v>Potatoes</v>
          </cell>
          <cell r="M237" t="str">
            <v>Pommes de terre</v>
          </cell>
          <cell r="N237" t="str">
            <v>Potatoes</v>
          </cell>
          <cell r="O237" t="str">
            <v>Potatoes</v>
          </cell>
          <cell r="P237" t="str">
            <v>Potatoes</v>
          </cell>
          <cell r="Q237" t="str">
            <v>Potatoes</v>
          </cell>
          <cell r="R237" t="str">
            <v>Potatoes</v>
          </cell>
          <cell r="S237" t="str">
            <v>Potatoes</v>
          </cell>
          <cell r="T237" t="str">
            <v>Potatoes</v>
          </cell>
          <cell r="U237" t="str">
            <v>Potatoes</v>
          </cell>
          <cell r="V237" t="str">
            <v>Potatoes</v>
          </cell>
          <cell r="W237" t="str">
            <v>Potatoes</v>
          </cell>
          <cell r="X237" t="str">
            <v>Potatoes</v>
          </cell>
        </row>
        <row r="238">
          <cell r="A238" t="str">
            <v>t19</v>
          </cell>
          <cell r="E238" t="str">
            <v>Fruits</v>
          </cell>
          <cell r="F238" t="str">
            <v>Fruits</v>
          </cell>
          <cell r="G238" t="str">
            <v>Fruchte</v>
          </cell>
          <cell r="H238" t="str">
            <v>Fruits</v>
          </cell>
          <cell r="I238" t="str">
            <v>Fruits</v>
          </cell>
          <cell r="J238" t="str">
            <v>Fruits</v>
          </cell>
          <cell r="K238" t="str">
            <v>Fruits</v>
          </cell>
          <cell r="L238" t="str">
            <v>Fruits</v>
          </cell>
          <cell r="M238" t="str">
            <v>Fruits</v>
          </cell>
          <cell r="N238" t="str">
            <v>Fruits</v>
          </cell>
          <cell r="O238" t="str">
            <v>Fruits</v>
          </cell>
          <cell r="P238" t="str">
            <v>Fruits</v>
          </cell>
          <cell r="Q238" t="str">
            <v>Fruits</v>
          </cell>
          <cell r="R238" t="str">
            <v>Fruits</v>
          </cell>
          <cell r="S238" t="str">
            <v>Fruits</v>
          </cell>
          <cell r="T238" t="str">
            <v>Fruits</v>
          </cell>
          <cell r="U238" t="str">
            <v>Fruits</v>
          </cell>
          <cell r="V238" t="str">
            <v>Fruits</v>
          </cell>
          <cell r="W238" t="str">
            <v>Fruits</v>
          </cell>
          <cell r="X238" t="str">
            <v>Fruits</v>
          </cell>
        </row>
        <row r="239">
          <cell r="A239" t="str">
            <v>t20</v>
          </cell>
          <cell r="E239" t="str">
            <v>Wine</v>
          </cell>
          <cell r="F239" t="str">
            <v>Wine</v>
          </cell>
          <cell r="G239" t="str">
            <v>Wein</v>
          </cell>
          <cell r="H239" t="str">
            <v>Wine</v>
          </cell>
          <cell r="I239" t="str">
            <v>Wine</v>
          </cell>
          <cell r="J239" t="str">
            <v>Wine</v>
          </cell>
          <cell r="K239" t="str">
            <v>Wine</v>
          </cell>
          <cell r="L239" t="str">
            <v>Wine</v>
          </cell>
          <cell r="M239" t="str">
            <v>Vins</v>
          </cell>
          <cell r="N239" t="str">
            <v>Wine</v>
          </cell>
          <cell r="O239" t="str">
            <v>Wine</v>
          </cell>
          <cell r="P239" t="str">
            <v>Wine</v>
          </cell>
          <cell r="Q239" t="str">
            <v>Wine</v>
          </cell>
          <cell r="R239" t="str">
            <v>Wine</v>
          </cell>
          <cell r="S239" t="str">
            <v>Wine</v>
          </cell>
          <cell r="T239" t="str">
            <v>Wine</v>
          </cell>
          <cell r="U239" t="str">
            <v>Wine</v>
          </cell>
          <cell r="V239" t="str">
            <v>Wine</v>
          </cell>
          <cell r="W239" t="str">
            <v>Wine</v>
          </cell>
          <cell r="X239" t="str">
            <v>Wine</v>
          </cell>
        </row>
        <row r="240">
          <cell r="A240" t="str">
            <v>t21</v>
          </cell>
          <cell r="E240" t="str">
            <v>Olive oil</v>
          </cell>
          <cell r="F240" t="str">
            <v>Olive oil</v>
          </cell>
          <cell r="G240" t="str">
            <v>Olivenöl</v>
          </cell>
          <cell r="H240" t="str">
            <v>Olive oil</v>
          </cell>
          <cell r="I240" t="str">
            <v>Olive oil</v>
          </cell>
          <cell r="J240" t="str">
            <v>Olive oil</v>
          </cell>
          <cell r="K240" t="str">
            <v>Olive oil</v>
          </cell>
          <cell r="L240" t="str">
            <v>Olive oil</v>
          </cell>
          <cell r="M240" t="str">
            <v>Huile d'olive</v>
          </cell>
          <cell r="N240" t="str">
            <v>Olive oil</v>
          </cell>
          <cell r="O240" t="str">
            <v>Olive oil</v>
          </cell>
          <cell r="P240" t="str">
            <v>Olive oil</v>
          </cell>
          <cell r="Q240" t="str">
            <v>Olive oil</v>
          </cell>
          <cell r="R240" t="str">
            <v>Olive oil</v>
          </cell>
          <cell r="S240" t="str">
            <v>Olive oil</v>
          </cell>
          <cell r="T240" t="str">
            <v>Olive oil</v>
          </cell>
          <cell r="U240" t="str">
            <v>Olive oil</v>
          </cell>
          <cell r="V240" t="str">
            <v>Olive oil</v>
          </cell>
          <cell r="W240" t="str">
            <v>Olive oil</v>
          </cell>
          <cell r="X240" t="str">
            <v>Olive oil</v>
          </cell>
        </row>
        <row r="241">
          <cell r="A241" t="str">
            <v>t22</v>
          </cell>
          <cell r="E241" t="str">
            <v>Animals</v>
          </cell>
          <cell r="F241" t="str">
            <v>Animals</v>
          </cell>
          <cell r="G241" t="str">
            <v>Tiere</v>
          </cell>
          <cell r="H241" t="str">
            <v>Animals</v>
          </cell>
          <cell r="I241" t="str">
            <v>Animals</v>
          </cell>
          <cell r="J241" t="str">
            <v>Animals</v>
          </cell>
          <cell r="K241" t="str">
            <v>Animals</v>
          </cell>
          <cell r="L241" t="str">
            <v>Animals</v>
          </cell>
          <cell r="M241" t="str">
            <v>Animaux</v>
          </cell>
          <cell r="N241" t="str">
            <v>Animals</v>
          </cell>
          <cell r="O241" t="str">
            <v>Animals</v>
          </cell>
          <cell r="P241" t="str">
            <v>Animals</v>
          </cell>
          <cell r="Q241" t="str">
            <v>Animals</v>
          </cell>
          <cell r="R241" t="str">
            <v>Animals</v>
          </cell>
          <cell r="S241" t="str">
            <v>Animals</v>
          </cell>
          <cell r="T241" t="str">
            <v>Animals</v>
          </cell>
          <cell r="U241" t="str">
            <v>Animals</v>
          </cell>
          <cell r="V241" t="str">
            <v>Animals</v>
          </cell>
          <cell r="W241" t="str">
            <v>Animals</v>
          </cell>
          <cell r="X241" t="str">
            <v>Animals</v>
          </cell>
        </row>
        <row r="242">
          <cell r="A242" t="str">
            <v>t23</v>
          </cell>
          <cell r="E242" t="str">
            <v>Animal products</v>
          </cell>
          <cell r="F242" t="str">
            <v>Animal products</v>
          </cell>
          <cell r="G242" t="str">
            <v>Tierische Erzeugung</v>
          </cell>
          <cell r="H242" t="str">
            <v>Animal products</v>
          </cell>
          <cell r="I242" t="str">
            <v>Animal products</v>
          </cell>
          <cell r="J242" t="str">
            <v>Animal products</v>
          </cell>
          <cell r="K242" t="str">
            <v>Animal products</v>
          </cell>
          <cell r="L242" t="str">
            <v>Animal products</v>
          </cell>
          <cell r="M242" t="str">
            <v>Produits animaux</v>
          </cell>
          <cell r="N242" t="str">
            <v>Animal products</v>
          </cell>
          <cell r="O242" t="str">
            <v>Animal products</v>
          </cell>
          <cell r="P242" t="str">
            <v>Animal products</v>
          </cell>
          <cell r="Q242" t="str">
            <v>Animal products</v>
          </cell>
          <cell r="R242" t="str">
            <v>Animal products</v>
          </cell>
          <cell r="S242" t="str">
            <v>Animal products</v>
          </cell>
          <cell r="T242" t="str">
            <v>Animal products</v>
          </cell>
          <cell r="U242" t="str">
            <v>Animal products</v>
          </cell>
          <cell r="V242" t="str">
            <v>Animal products</v>
          </cell>
          <cell r="W242" t="str">
            <v>Animal products</v>
          </cell>
          <cell r="X242" t="str">
            <v>Animal products</v>
          </cell>
        </row>
        <row r="243">
          <cell r="A243" t="str">
            <v>t24</v>
          </cell>
          <cell r="E243" t="str">
            <v>Old code</v>
          </cell>
          <cell r="F243" t="str">
            <v>Old code</v>
          </cell>
          <cell r="G243" t="str">
            <v>Frühere Kode</v>
          </cell>
          <cell r="H243" t="str">
            <v>Old code</v>
          </cell>
          <cell r="I243" t="str">
            <v>Old code</v>
          </cell>
          <cell r="J243" t="str">
            <v>Old code</v>
          </cell>
          <cell r="K243" t="str">
            <v>Old code</v>
          </cell>
          <cell r="L243" t="str">
            <v>Old code</v>
          </cell>
          <cell r="M243" t="str">
            <v>Ancien code</v>
          </cell>
          <cell r="N243" t="str">
            <v>Old code</v>
          </cell>
          <cell r="O243" t="str">
            <v>Old code</v>
          </cell>
          <cell r="P243" t="str">
            <v>Old code</v>
          </cell>
          <cell r="Q243" t="str">
            <v>Old code</v>
          </cell>
          <cell r="R243" t="str">
            <v>Old code</v>
          </cell>
          <cell r="S243" t="str">
            <v>Old code</v>
          </cell>
          <cell r="T243" t="str">
            <v>Old code</v>
          </cell>
          <cell r="U243" t="str">
            <v>Old code</v>
          </cell>
          <cell r="V243" t="str">
            <v>Old code</v>
          </cell>
          <cell r="W243" t="str">
            <v>Old code</v>
          </cell>
          <cell r="X243" t="str">
            <v>Old code</v>
          </cell>
        </row>
        <row r="244">
          <cell r="A244" t="str">
            <v>t25</v>
          </cell>
          <cell r="E244" t="str">
            <v>Reduced list of products for Annual Agricultural Absolute Prices</v>
          </cell>
          <cell r="F244" t="str">
            <v>Reduced list of products for Annual Agricultural Absolute Prices</v>
          </cell>
          <cell r="G244" t="str">
            <v>Verengte Liste der Produkte für die jarhliche absolute Agrarpreisereihen</v>
          </cell>
          <cell r="H244" t="str">
            <v>Reduced list of products for Annual Agricultural Absolute Prices</v>
          </cell>
          <cell r="I244" t="str">
            <v>Reduced list of products for Annual Agricultural Absolute Prices</v>
          </cell>
          <cell r="J244" t="str">
            <v>Reduced list of products for Annual Agricultural Absolute Prices</v>
          </cell>
          <cell r="K244" t="str">
            <v>Reduced list of products for Annual Agricultural Absolute Prices</v>
          </cell>
          <cell r="L244" t="str">
            <v>Reduced list of products for Annual Agricultural Absolute Prices</v>
          </cell>
          <cell r="M244" t="str">
            <v>Liste réduite des produits pour les prix agricoles absolus annuels</v>
          </cell>
          <cell r="N244" t="str">
            <v>Reduced list of products for Annual Agricultural Absolute Prices</v>
          </cell>
          <cell r="O244" t="str">
            <v>Reduced list of products for Annual Agricultural Absolute Prices</v>
          </cell>
          <cell r="P244" t="str">
            <v>Reduced list of products for Annual Agricultural Absolute Prices</v>
          </cell>
          <cell r="Q244" t="str">
            <v>Reduced list of products for Annual Agricultural Absolute Prices</v>
          </cell>
          <cell r="R244" t="str">
            <v>Reduced list of products for Annual Agricultural Absolute Prices</v>
          </cell>
          <cell r="S244" t="str">
            <v>Reduced list of products for Annual Agricultural Absolute Prices</v>
          </cell>
          <cell r="T244" t="str">
            <v>Reduced list of products for Annual Agricultural Absolute Prices</v>
          </cell>
          <cell r="U244" t="str">
            <v>Reduced list of products for Annual Agricultural Absolute Prices</v>
          </cell>
          <cell r="V244" t="str">
            <v>Reduced list of products for Annual Agricultural Absolute Prices</v>
          </cell>
          <cell r="W244" t="str">
            <v>Reduced list of products for Annual Agricultural Absolute Prices</v>
          </cell>
          <cell r="X244" t="str">
            <v>Reduced list of products for Annual Agricultural Absolute Prices</v>
          </cell>
        </row>
        <row r="245">
          <cell r="A245" t="str">
            <v>t26</v>
          </cell>
          <cell r="E245" t="str">
            <v>Corresponding Subgroup/Class in API</v>
          </cell>
          <cell r="F245" t="str">
            <v>Corresponding Subgroup/Class in API</v>
          </cell>
          <cell r="G245" t="str">
            <v xml:space="preserve">API entsprechende Untergruppe / Klasse </v>
          </cell>
          <cell r="H245" t="str">
            <v>Corresponding Subgroup/Class in API</v>
          </cell>
          <cell r="I245" t="str">
            <v>Corresponding Subgroup/Class in API</v>
          </cell>
          <cell r="J245" t="str">
            <v>Corresponding Subgroup/Class in API</v>
          </cell>
          <cell r="K245" t="str">
            <v>Corresponding Subgroup/Class in API</v>
          </cell>
          <cell r="L245" t="str">
            <v>Corresponding Subgroup/Class in API</v>
          </cell>
          <cell r="M245" t="str">
            <v>Sous-groupe / classe correspondante de API</v>
          </cell>
          <cell r="N245" t="str">
            <v>Corresponding Subgroup/Class in API</v>
          </cell>
          <cell r="O245" t="str">
            <v>Corresponding Subgroup/Class in API</v>
          </cell>
          <cell r="P245" t="str">
            <v>Corresponding Subgroup/Class in API</v>
          </cell>
          <cell r="Q245" t="str">
            <v>Corresponding Subgroup/Class in API</v>
          </cell>
          <cell r="R245" t="str">
            <v>Corresponding Subgroup/Class in API</v>
          </cell>
          <cell r="S245" t="str">
            <v>Corresponding Subgroup/Class in API</v>
          </cell>
          <cell r="T245" t="str">
            <v>Corresponding Subgroup/Class in API</v>
          </cell>
          <cell r="U245" t="str">
            <v>Corresponding Subgroup/Class in API</v>
          </cell>
          <cell r="V245" t="str">
            <v>Corresponding Subgroup/Class in API</v>
          </cell>
          <cell r="W245" t="str">
            <v>Corresponding Subgroup/Class in API</v>
          </cell>
          <cell r="X245" t="str">
            <v>Corresponding Subgroup/Class in API</v>
          </cell>
        </row>
        <row r="328">
          <cell r="A328" t="str">
            <v>AT</v>
          </cell>
          <cell r="E328" t="str">
            <v>Rakousko</v>
          </cell>
          <cell r="F328" t="str">
            <v>Østrig</v>
          </cell>
          <cell r="G328" t="str">
            <v>Österreich</v>
          </cell>
          <cell r="H328" t="str">
            <v>Αυστρία</v>
          </cell>
          <cell r="I328" t="str">
            <v>Austria</v>
          </cell>
          <cell r="J328" t="str">
            <v xml:space="preserve">Austria </v>
          </cell>
          <cell r="K328" t="str">
            <v xml:space="preserve">Austria </v>
          </cell>
          <cell r="L328" t="str">
            <v>Itävalta</v>
          </cell>
          <cell r="M328" t="str">
            <v>Autriche</v>
          </cell>
          <cell r="N328" t="str">
            <v xml:space="preserve">Ausztria </v>
          </cell>
          <cell r="O328" t="str">
            <v xml:space="preserve">Austria </v>
          </cell>
          <cell r="P328" t="str">
            <v xml:space="preserve">Austrija </v>
          </cell>
          <cell r="Q328" t="str">
            <v>Austrija</v>
          </cell>
          <cell r="R328" t="str">
            <v>Austria</v>
          </cell>
          <cell r="S328" t="str">
            <v xml:space="preserve">Oostenrijk </v>
          </cell>
          <cell r="T328" t="str">
            <v>Austria</v>
          </cell>
          <cell r="U328" t="str">
            <v xml:space="preserve">Áustria </v>
          </cell>
          <cell r="V328" t="str">
            <v>Rakúsko</v>
          </cell>
          <cell r="W328" t="str">
            <v>Avstrija</v>
          </cell>
          <cell r="X328" t="str">
            <v>Österrike</v>
          </cell>
        </row>
        <row r="329">
          <cell r="A329" t="str">
            <v>BE</v>
          </cell>
          <cell r="E329" t="str">
            <v>Belgie</v>
          </cell>
          <cell r="F329" t="str">
            <v>Belgien</v>
          </cell>
          <cell r="G329" t="str">
            <v>Belgiën</v>
          </cell>
          <cell r="H329" t="str">
            <v>Βέλγιο</v>
          </cell>
          <cell r="I329" t="str">
            <v>Belgium</v>
          </cell>
          <cell r="J329" t="str">
            <v xml:space="preserve">Bélgica </v>
          </cell>
          <cell r="K329" t="str">
            <v>Belgia</v>
          </cell>
          <cell r="L329" t="str">
            <v>Belgia</v>
          </cell>
          <cell r="M329" t="str">
            <v>Belgique</v>
          </cell>
          <cell r="N329" t="str">
            <v xml:space="preserve">Belgium </v>
          </cell>
          <cell r="O329" t="str">
            <v xml:space="preserve">Belgio </v>
          </cell>
          <cell r="P329" t="str">
            <v>Belgija</v>
          </cell>
          <cell r="Q329" t="str">
            <v xml:space="preserve">Beļģija </v>
          </cell>
          <cell r="R329" t="str">
            <v>Belgju</v>
          </cell>
          <cell r="S329" t="str">
            <v xml:space="preserve">België </v>
          </cell>
          <cell r="T329" t="str">
            <v>Belgia</v>
          </cell>
          <cell r="U329" t="str">
            <v xml:space="preserve">Bélgica </v>
          </cell>
          <cell r="V329" t="str">
            <v xml:space="preserve">Belgicko </v>
          </cell>
          <cell r="W329" t="str">
            <v>Belgija</v>
          </cell>
          <cell r="X329" t="str">
            <v>Belgien</v>
          </cell>
        </row>
        <row r="330">
          <cell r="A330" t="str">
            <v>BG</v>
          </cell>
          <cell r="E330" t="str">
            <v>Bulharsko</v>
          </cell>
          <cell r="F330" t="str">
            <v>Bulgarien</v>
          </cell>
          <cell r="G330" t="str">
            <v>Bulgarien</v>
          </cell>
          <cell r="H330" t="str">
            <v>Βουλγαρία</v>
          </cell>
          <cell r="I330" t="str">
            <v>Bulgaria</v>
          </cell>
          <cell r="J330" t="str">
            <v xml:space="preserve">Bulgaria </v>
          </cell>
          <cell r="K330" t="str">
            <v xml:space="preserve">Bulgaaria </v>
          </cell>
          <cell r="L330" t="str">
            <v>Bulgaria</v>
          </cell>
          <cell r="M330" t="str">
            <v>Bulgarie</v>
          </cell>
          <cell r="N330" t="str">
            <v xml:space="preserve">Bulgária </v>
          </cell>
          <cell r="O330" t="str">
            <v xml:space="preserve">Bulgaria </v>
          </cell>
          <cell r="P330" t="str">
            <v xml:space="preserve">Bulgarija </v>
          </cell>
          <cell r="Q330" t="str">
            <v xml:space="preserve">Bulgārija </v>
          </cell>
          <cell r="R330" t="str">
            <v>il-Bulgarija</v>
          </cell>
          <cell r="S330" t="str">
            <v xml:space="preserve">Bulgarije </v>
          </cell>
          <cell r="T330" t="str">
            <v>Bułgaria</v>
          </cell>
          <cell r="U330" t="str">
            <v xml:space="preserve">Bulgária </v>
          </cell>
          <cell r="V330" t="str">
            <v>Bulharsko</v>
          </cell>
          <cell r="W330" t="str">
            <v xml:space="preserve">Bolgarija </v>
          </cell>
          <cell r="X330" t="str">
            <v>Bulgarien</v>
          </cell>
        </row>
        <row r="331">
          <cell r="A331" t="str">
            <v>CY</v>
          </cell>
          <cell r="E331" t="str">
            <v>Cyprus</v>
          </cell>
          <cell r="F331" t="str">
            <v>Cypern</v>
          </cell>
          <cell r="G331" t="str">
            <v>Zypern</v>
          </cell>
          <cell r="H331" t="str">
            <v>Κύπρος</v>
          </cell>
          <cell r="I331" t="str">
            <v>Cyprus</v>
          </cell>
          <cell r="J331" t="str">
            <v xml:space="preserve">Chipre </v>
          </cell>
          <cell r="K331" t="str">
            <v xml:space="preserve">Küpros </v>
          </cell>
          <cell r="L331" t="str">
            <v>Kypros</v>
          </cell>
          <cell r="M331" t="str">
            <v>Chypre</v>
          </cell>
          <cell r="N331" t="str">
            <v xml:space="preserve">Ciprus </v>
          </cell>
          <cell r="O331" t="str">
            <v xml:space="preserve">Cipro </v>
          </cell>
          <cell r="P331" t="str">
            <v>Kipras</v>
          </cell>
          <cell r="Q331" t="str">
            <v>Kipra</v>
          </cell>
          <cell r="R331" t="str">
            <v>Cyprus</v>
          </cell>
          <cell r="S331" t="str">
            <v xml:space="preserve">Cyprus </v>
          </cell>
          <cell r="T331" t="str">
            <v>Cypr</v>
          </cell>
          <cell r="U331" t="str">
            <v xml:space="preserve">Chipre </v>
          </cell>
          <cell r="V331" t="str">
            <v>Cyprus</v>
          </cell>
          <cell r="W331" t="str">
            <v>Ciper</v>
          </cell>
          <cell r="X331" t="str">
            <v>Cypern</v>
          </cell>
        </row>
        <row r="332">
          <cell r="A332" t="str">
            <v>CZ</v>
          </cell>
          <cell r="E332" t="str">
            <v xml:space="preserve">Česko </v>
          </cell>
          <cell r="F332" t="str">
            <v>Tjekkiet</v>
          </cell>
          <cell r="G332" t="str">
            <v>Tschechien</v>
          </cell>
          <cell r="H332" t="str">
            <v>Τσεχία</v>
          </cell>
          <cell r="I332" t="str">
            <v>Czech Republic</v>
          </cell>
          <cell r="J332" t="str">
            <v xml:space="preserve">República Checa </v>
          </cell>
          <cell r="K332" t="str">
            <v xml:space="preserve">Tsehhi </v>
          </cell>
          <cell r="L332" t="str">
            <v>Tšekki</v>
          </cell>
          <cell r="M332" t="str">
            <v>Tchéquie</v>
          </cell>
          <cell r="N332" t="str">
            <v>Csehország C</v>
          </cell>
          <cell r="O332" t="str">
            <v xml:space="preserve">Repubblica Ceca </v>
          </cell>
          <cell r="P332" t="str">
            <v xml:space="preserve">Čekija </v>
          </cell>
          <cell r="Q332" t="str">
            <v xml:space="preserve">Čehija </v>
          </cell>
          <cell r="R332" t="str">
            <v>Czech Republic</v>
          </cell>
          <cell r="S332" t="str">
            <v xml:space="preserve">Tsjechië </v>
          </cell>
          <cell r="T332" t="str">
            <v>Czechy</v>
          </cell>
          <cell r="U332" t="str">
            <v xml:space="preserve">Chéquia </v>
          </cell>
          <cell r="V332" t="str">
            <v>Česko</v>
          </cell>
          <cell r="W332" t="str">
            <v>Česka republika</v>
          </cell>
          <cell r="X332" t="str">
            <v>Tjeckien</v>
          </cell>
        </row>
        <row r="333">
          <cell r="A333" t="str">
            <v>DA</v>
          </cell>
          <cell r="E333" t="str">
            <v>Dánsko</v>
          </cell>
          <cell r="F333" t="str">
            <v>Danmark</v>
          </cell>
          <cell r="G333" t="str">
            <v>Dänemark</v>
          </cell>
          <cell r="H333" t="str">
            <v>Δανία</v>
          </cell>
          <cell r="I333" t="str">
            <v>Denmark</v>
          </cell>
          <cell r="J333" t="str">
            <v xml:space="preserve">Dinamarca </v>
          </cell>
          <cell r="K333" t="str">
            <v xml:space="preserve">Taani </v>
          </cell>
          <cell r="L333" t="str">
            <v>Tanska</v>
          </cell>
          <cell r="M333" t="str">
            <v>Danemark</v>
          </cell>
          <cell r="N333" t="str">
            <v xml:space="preserve">Dánia </v>
          </cell>
          <cell r="O333" t="str">
            <v xml:space="preserve">Danimarca </v>
          </cell>
          <cell r="P333" t="str">
            <v>Danija</v>
          </cell>
          <cell r="Q333" t="str">
            <v xml:space="preserve">Dānija </v>
          </cell>
          <cell r="R333" t="str">
            <v>Denmark</v>
          </cell>
          <cell r="S333" t="str">
            <v xml:space="preserve">Denemarken </v>
          </cell>
          <cell r="T333" t="str">
            <v>Dania</v>
          </cell>
          <cell r="U333" t="str">
            <v xml:space="preserve">Dinamarca </v>
          </cell>
          <cell r="V333" t="str">
            <v>Dánsko</v>
          </cell>
          <cell r="W333" t="str">
            <v>Danska</v>
          </cell>
          <cell r="X333" t="str">
            <v>Danmark</v>
          </cell>
        </row>
        <row r="334">
          <cell r="A334" t="str">
            <v>DE</v>
          </cell>
          <cell r="E334" t="str">
            <v>Německo</v>
          </cell>
          <cell r="F334" t="str">
            <v>Tyskland</v>
          </cell>
          <cell r="G334" t="str">
            <v>Deutschland</v>
          </cell>
          <cell r="H334" t="str">
            <v>Γερμανία</v>
          </cell>
          <cell r="I334" t="str">
            <v>Germany</v>
          </cell>
          <cell r="J334" t="str">
            <v xml:space="preserve">Alemania </v>
          </cell>
          <cell r="K334" t="str">
            <v xml:space="preserve">Saksamaa </v>
          </cell>
          <cell r="L334" t="str">
            <v>Saksa</v>
          </cell>
          <cell r="M334" t="str">
            <v>Allemagne</v>
          </cell>
          <cell r="N334" t="str">
            <v xml:space="preserve">Németország </v>
          </cell>
          <cell r="O334" t="str">
            <v xml:space="preserve">Germania </v>
          </cell>
          <cell r="P334" t="str">
            <v>Vokietija, VFR</v>
          </cell>
          <cell r="Q334" t="str">
            <v xml:space="preserve">Vācija </v>
          </cell>
          <cell r="R334" t="str">
            <v>Germanja</v>
          </cell>
          <cell r="S334" t="str">
            <v xml:space="preserve">Duitsland </v>
          </cell>
          <cell r="T334" t="str">
            <v xml:space="preserve">Niemcy </v>
          </cell>
          <cell r="U334" t="str">
            <v xml:space="preserve">Alemanha </v>
          </cell>
          <cell r="V334" t="str">
            <v>Nemecko</v>
          </cell>
          <cell r="W334" t="str">
            <v>Nemčija</v>
          </cell>
          <cell r="X334" t="str">
            <v>Tyskland</v>
          </cell>
        </row>
        <row r="335">
          <cell r="A335" t="str">
            <v>EE</v>
          </cell>
          <cell r="E335" t="str">
            <v>Estonsko</v>
          </cell>
          <cell r="F335" t="str">
            <v>Estland</v>
          </cell>
          <cell r="G335" t="str">
            <v>Estland</v>
          </cell>
          <cell r="H335" t="str">
            <v>Εσθονία</v>
          </cell>
          <cell r="I335" t="str">
            <v>Estonia</v>
          </cell>
          <cell r="J335" t="str">
            <v xml:space="preserve">Estonia </v>
          </cell>
          <cell r="K335" t="str">
            <v xml:space="preserve">Eesti </v>
          </cell>
          <cell r="L335" t="str">
            <v>Viro</v>
          </cell>
          <cell r="M335" t="str">
            <v>Estonie</v>
          </cell>
          <cell r="N335" t="str">
            <v xml:space="preserve">Észtország </v>
          </cell>
          <cell r="O335" t="str">
            <v xml:space="preserve">Estonia </v>
          </cell>
          <cell r="P335" t="str">
            <v>Estija</v>
          </cell>
          <cell r="Q335" t="str">
            <v xml:space="preserve">Igaunija </v>
          </cell>
          <cell r="R335" t="str">
            <v>Estonia</v>
          </cell>
          <cell r="S335" t="str">
            <v xml:space="preserve">Estland </v>
          </cell>
          <cell r="T335" t="str">
            <v>Estonia</v>
          </cell>
          <cell r="U335" t="str">
            <v xml:space="preserve">Estónia </v>
          </cell>
          <cell r="V335" t="str">
            <v xml:space="preserve">Estónsko </v>
          </cell>
          <cell r="W335" t="str">
            <v xml:space="preserve">Estonija </v>
          </cell>
          <cell r="X335" t="str">
            <v>Estland</v>
          </cell>
        </row>
        <row r="336">
          <cell r="A336" t="str">
            <v>EL</v>
          </cell>
          <cell r="E336" t="str">
            <v>Řecko</v>
          </cell>
          <cell r="F336" t="str">
            <v>Grækenland</v>
          </cell>
          <cell r="G336" t="str">
            <v>Griechenland</v>
          </cell>
          <cell r="H336" t="str">
            <v>Ελλάδα</v>
          </cell>
          <cell r="I336" t="str">
            <v>Greece</v>
          </cell>
          <cell r="J336" t="str">
            <v xml:space="preserve">Grecia </v>
          </cell>
          <cell r="K336" t="str">
            <v xml:space="preserve">Kreeka </v>
          </cell>
          <cell r="L336" t="str">
            <v>Kreikka</v>
          </cell>
          <cell r="M336" t="str">
            <v>Grèce</v>
          </cell>
          <cell r="N336" t="str">
            <v xml:space="preserve">Görögország </v>
          </cell>
          <cell r="O336" t="str">
            <v xml:space="preserve">Grecia </v>
          </cell>
          <cell r="P336" t="str">
            <v xml:space="preserve">Graikija </v>
          </cell>
          <cell r="Q336" t="str">
            <v>Grieķija</v>
          </cell>
          <cell r="R336" t="str">
            <v>Grecja</v>
          </cell>
          <cell r="S336" t="str">
            <v xml:space="preserve">Griekenland </v>
          </cell>
          <cell r="T336" t="str">
            <v>Gracja</v>
          </cell>
          <cell r="U336" t="str">
            <v xml:space="preserve">Grécia </v>
          </cell>
          <cell r="V336" t="str">
            <v xml:space="preserve">Grécko </v>
          </cell>
          <cell r="W336" t="str">
            <v xml:space="preserve">Grčija </v>
          </cell>
          <cell r="X336" t="str">
            <v>Grekland</v>
          </cell>
        </row>
        <row r="337">
          <cell r="A337" t="str">
            <v>ES</v>
          </cell>
          <cell r="E337" t="str">
            <v>Spanělsko</v>
          </cell>
          <cell r="F337" t="str">
            <v>Spanien</v>
          </cell>
          <cell r="G337" t="str">
            <v>Spanien</v>
          </cell>
          <cell r="H337" t="str">
            <v>Ισπανία</v>
          </cell>
          <cell r="I337" t="str">
            <v>Spain</v>
          </cell>
          <cell r="J337" t="str">
            <v xml:space="preserve">España </v>
          </cell>
          <cell r="K337" t="str">
            <v xml:space="preserve">Hispaania </v>
          </cell>
          <cell r="L337" t="str">
            <v>Espanja</v>
          </cell>
          <cell r="M337" t="str">
            <v>Espagne</v>
          </cell>
          <cell r="N337" t="str">
            <v xml:space="preserve">Spanyolország </v>
          </cell>
          <cell r="O337" t="str">
            <v xml:space="preserve">Spagna </v>
          </cell>
          <cell r="P337" t="str">
            <v xml:space="preserve">Ispanija </v>
          </cell>
          <cell r="Q337" t="str">
            <v xml:space="preserve">Spānija </v>
          </cell>
          <cell r="R337" t="str">
            <v>Spanja</v>
          </cell>
          <cell r="S337" t="str">
            <v xml:space="preserve">Spanje </v>
          </cell>
          <cell r="T337" t="str">
            <v>Hiszpania</v>
          </cell>
          <cell r="U337" t="str">
            <v xml:space="preserve">Espanha </v>
          </cell>
          <cell r="V337" t="str">
            <v xml:space="preserve">Spanielsko </v>
          </cell>
          <cell r="W337" t="str">
            <v>spanija</v>
          </cell>
          <cell r="X337" t="str">
            <v>Spanien</v>
          </cell>
        </row>
        <row r="338">
          <cell r="A338" t="str">
            <v>FI</v>
          </cell>
          <cell r="E338" t="str">
            <v>Finsko</v>
          </cell>
          <cell r="F338" t="str">
            <v>Finland</v>
          </cell>
          <cell r="G338" t="str">
            <v>Finnland</v>
          </cell>
          <cell r="H338" t="str">
            <v>Φινλανδία</v>
          </cell>
          <cell r="I338" t="str">
            <v>Finnland</v>
          </cell>
          <cell r="J338" t="str">
            <v xml:space="preserve">Finlandia </v>
          </cell>
          <cell r="K338" t="str">
            <v xml:space="preserve">Soome </v>
          </cell>
          <cell r="L338" t="str">
            <v>Suomi</v>
          </cell>
          <cell r="M338" t="str">
            <v>Finlande</v>
          </cell>
          <cell r="N338" t="str">
            <v xml:space="preserve">Finnország </v>
          </cell>
          <cell r="O338" t="str">
            <v xml:space="preserve">Finlandia </v>
          </cell>
          <cell r="P338" t="str">
            <v>Suomija</v>
          </cell>
          <cell r="Q338" t="str">
            <v xml:space="preserve">Somija </v>
          </cell>
          <cell r="R338" t="str">
            <v>Finnland</v>
          </cell>
          <cell r="S338" t="str">
            <v xml:space="preserve">Finland </v>
          </cell>
          <cell r="T338" t="str">
            <v>Finlandia</v>
          </cell>
          <cell r="U338" t="str">
            <v xml:space="preserve">Finlândia </v>
          </cell>
          <cell r="V338" t="str">
            <v>Fínsko</v>
          </cell>
          <cell r="W338" t="str">
            <v xml:space="preserve">Finska </v>
          </cell>
          <cell r="X338" t="str">
            <v>Finland</v>
          </cell>
        </row>
        <row r="339">
          <cell r="A339" t="str">
            <v>FR</v>
          </cell>
          <cell r="E339" t="str">
            <v>Francie</v>
          </cell>
          <cell r="F339" t="str">
            <v>Frankrig</v>
          </cell>
          <cell r="G339" t="str">
            <v>Frankreich</v>
          </cell>
          <cell r="H339" t="str">
            <v>Γαλλία</v>
          </cell>
          <cell r="I339" t="str">
            <v>France</v>
          </cell>
          <cell r="J339" t="str">
            <v xml:space="preserve">Francia </v>
          </cell>
          <cell r="K339" t="str">
            <v xml:space="preserve">Prantsusmaa </v>
          </cell>
          <cell r="L339" t="str">
            <v>Ranska</v>
          </cell>
          <cell r="M339" t="str">
            <v>France</v>
          </cell>
          <cell r="N339" t="str">
            <v xml:space="preserve">Franciaország </v>
          </cell>
          <cell r="O339" t="str">
            <v xml:space="preserve">Francia </v>
          </cell>
          <cell r="P339" t="str">
            <v>Prancūzija</v>
          </cell>
          <cell r="Q339" t="str">
            <v>Francija</v>
          </cell>
          <cell r="R339" t="str">
            <v>Franza</v>
          </cell>
          <cell r="S339" t="str">
            <v xml:space="preserve">Frankrijk </v>
          </cell>
          <cell r="T339" t="str">
            <v>Francja</v>
          </cell>
          <cell r="U339" t="str">
            <v xml:space="preserve">França </v>
          </cell>
          <cell r="V339" t="str">
            <v>Francúzsko</v>
          </cell>
          <cell r="W339" t="str">
            <v>Francija</v>
          </cell>
          <cell r="X339" t="str">
            <v>Frankrike</v>
          </cell>
        </row>
        <row r="340">
          <cell r="A340" t="str">
            <v>HU</v>
          </cell>
          <cell r="E340" t="str">
            <v>Uhersko, Uhry</v>
          </cell>
          <cell r="F340" t="str">
            <v>Ungarn</v>
          </cell>
          <cell r="G340" t="str">
            <v>Ungarn</v>
          </cell>
          <cell r="H340" t="str">
            <v>Ουγγαρία</v>
          </cell>
          <cell r="I340" t="str">
            <v>Hungaria</v>
          </cell>
          <cell r="J340" t="str">
            <v xml:space="preserve">Hungría </v>
          </cell>
          <cell r="K340" t="str">
            <v xml:space="preserve">Ungari </v>
          </cell>
          <cell r="L340" t="str">
            <v>Unkari</v>
          </cell>
          <cell r="M340" t="str">
            <v>Hongrie</v>
          </cell>
          <cell r="N340" t="str">
            <v xml:space="preserve">Magyarország </v>
          </cell>
          <cell r="O340" t="str">
            <v xml:space="preserve">Ungheria </v>
          </cell>
          <cell r="P340" t="str">
            <v>Vengrija</v>
          </cell>
          <cell r="Q340" t="str">
            <v>Ungārija</v>
          </cell>
          <cell r="R340" t="str">
            <v>Hungary</v>
          </cell>
          <cell r="S340" t="str">
            <v xml:space="preserve">Hongarije </v>
          </cell>
          <cell r="T340" t="str">
            <v>Węgry</v>
          </cell>
          <cell r="U340" t="str">
            <v xml:space="preserve">Hungria </v>
          </cell>
          <cell r="V340" t="str">
            <v>Maďarsko</v>
          </cell>
          <cell r="W340" t="str">
            <v xml:space="preserve">Madzarska </v>
          </cell>
          <cell r="X340" t="str">
            <v>Ungern</v>
          </cell>
        </row>
        <row r="341">
          <cell r="A341" t="str">
            <v>IE</v>
          </cell>
          <cell r="E341" t="str">
            <v>Irsko</v>
          </cell>
          <cell r="F341" t="str">
            <v>Irland</v>
          </cell>
          <cell r="G341" t="str">
            <v>Irland</v>
          </cell>
          <cell r="H341" t="str">
            <v>Ιρλανδία</v>
          </cell>
          <cell r="I341" t="str">
            <v>Ireland</v>
          </cell>
          <cell r="J341" t="str">
            <v xml:space="preserve">Irlanda </v>
          </cell>
          <cell r="K341" t="str">
            <v>Iirimaa</v>
          </cell>
          <cell r="L341" t="str">
            <v>Irlanti</v>
          </cell>
          <cell r="M341" t="str">
            <v>Irlande</v>
          </cell>
          <cell r="N341" t="str">
            <v xml:space="preserve">Írország </v>
          </cell>
          <cell r="O341" t="str">
            <v xml:space="preserve">Irlanda </v>
          </cell>
          <cell r="P341" t="str">
            <v>Airija</v>
          </cell>
          <cell r="Q341" t="str">
            <v>Īrija</v>
          </cell>
          <cell r="R341" t="str">
            <v>Ireland</v>
          </cell>
          <cell r="S341" t="str">
            <v xml:space="preserve">Ierland </v>
          </cell>
          <cell r="T341" t="str">
            <v>Irlandia</v>
          </cell>
          <cell r="U341" t="str">
            <v xml:space="preserve">Irlanda </v>
          </cell>
          <cell r="V341" t="str">
            <v>Írsko</v>
          </cell>
          <cell r="W341" t="str">
            <v>Irska</v>
          </cell>
          <cell r="X341" t="str">
            <v>Irland</v>
          </cell>
        </row>
        <row r="342">
          <cell r="A342" t="str">
            <v>IT</v>
          </cell>
          <cell r="E342" t="str">
            <v>Itálie</v>
          </cell>
          <cell r="F342" t="str">
            <v>Italien</v>
          </cell>
          <cell r="G342" t="str">
            <v>Italien</v>
          </cell>
          <cell r="H342" t="str">
            <v>Ιταλία</v>
          </cell>
          <cell r="I342" t="str">
            <v>Italy</v>
          </cell>
          <cell r="J342" t="str">
            <v xml:space="preserve">Italia </v>
          </cell>
          <cell r="K342" t="str">
            <v>Itaalia</v>
          </cell>
          <cell r="L342" t="str">
            <v>Italia</v>
          </cell>
          <cell r="M342" t="str">
            <v>Italie</v>
          </cell>
          <cell r="N342" t="str">
            <v xml:space="preserve">Olaszország </v>
          </cell>
          <cell r="O342" t="str">
            <v xml:space="preserve">Italia </v>
          </cell>
          <cell r="P342" t="str">
            <v xml:space="preserve">Italija </v>
          </cell>
          <cell r="Q342" t="str">
            <v xml:space="preserve">Itālija </v>
          </cell>
          <cell r="R342" t="str">
            <v>Italja</v>
          </cell>
          <cell r="S342" t="str">
            <v xml:space="preserve">Italië </v>
          </cell>
          <cell r="T342" t="str">
            <v>Włochy</v>
          </cell>
          <cell r="U342" t="str">
            <v xml:space="preserve">Itália </v>
          </cell>
          <cell r="V342" t="str">
            <v xml:space="preserve">Taliansko </v>
          </cell>
          <cell r="W342" t="str">
            <v xml:space="preserve">Italija </v>
          </cell>
          <cell r="X342" t="str">
            <v>Italien</v>
          </cell>
        </row>
        <row r="343">
          <cell r="A343" t="str">
            <v>LT</v>
          </cell>
          <cell r="E343" t="str">
            <v>Litva</v>
          </cell>
          <cell r="F343" t="str">
            <v>Litauen</v>
          </cell>
          <cell r="G343" t="str">
            <v>Litauen</v>
          </cell>
          <cell r="H343" t="str">
            <v>Λιθουανία</v>
          </cell>
          <cell r="I343" t="str">
            <v>Lithuania</v>
          </cell>
          <cell r="J343" t="str">
            <v xml:space="preserve">Lituania </v>
          </cell>
          <cell r="K343" t="str">
            <v xml:space="preserve">Leedu </v>
          </cell>
          <cell r="L343" t="str">
            <v>Liettua</v>
          </cell>
          <cell r="M343" t="str">
            <v>Lituanie</v>
          </cell>
          <cell r="N343" t="str">
            <v xml:space="preserve">Litvánia </v>
          </cell>
          <cell r="O343" t="str">
            <v xml:space="preserve">Lituania </v>
          </cell>
          <cell r="P343" t="str">
            <v>Lietuva</v>
          </cell>
          <cell r="Q343" t="str">
            <v>Lietuva</v>
          </cell>
          <cell r="R343" t="str">
            <v>Lithuania</v>
          </cell>
          <cell r="S343" t="str">
            <v xml:space="preserve">Litouwen </v>
          </cell>
          <cell r="T343" t="str">
            <v>Litwa</v>
          </cell>
          <cell r="U343" t="str">
            <v xml:space="preserve">Lituânia </v>
          </cell>
          <cell r="V343" t="str">
            <v xml:space="preserve">Litva </v>
          </cell>
          <cell r="W343" t="str">
            <v>Litva</v>
          </cell>
          <cell r="X343" t="str">
            <v>Litauen</v>
          </cell>
        </row>
        <row r="344">
          <cell r="A344" t="str">
            <v>LU</v>
          </cell>
          <cell r="E344" t="str">
            <v>Lucembursko</v>
          </cell>
          <cell r="F344" t="str">
            <v>Luxembourg</v>
          </cell>
          <cell r="G344" t="str">
            <v>Letzebuerg</v>
          </cell>
          <cell r="H344" t="str">
            <v>Λουξεμβούργο</v>
          </cell>
          <cell r="I344" t="str">
            <v>Luxemburg</v>
          </cell>
          <cell r="J344" t="str">
            <v xml:space="preserve">Luxemburgo </v>
          </cell>
          <cell r="K344" t="str">
            <v xml:space="preserve">Luksemburg </v>
          </cell>
          <cell r="L344" t="str">
            <v>Luxemburg</v>
          </cell>
          <cell r="M344" t="str">
            <v>Luxembourg</v>
          </cell>
          <cell r="N344" t="str">
            <v>Luxemburg</v>
          </cell>
          <cell r="O344" t="str">
            <v xml:space="preserve">Lussemburgo </v>
          </cell>
          <cell r="P344" t="str">
            <v>Liuksemburgas</v>
          </cell>
          <cell r="Q344" t="str">
            <v xml:space="preserve">Luksemburga </v>
          </cell>
          <cell r="R344" t="str">
            <v>Luxemburg</v>
          </cell>
          <cell r="S344" t="str">
            <v xml:space="preserve">Luxemburg </v>
          </cell>
          <cell r="T344" t="str">
            <v>Luksemburg</v>
          </cell>
          <cell r="U344" t="str">
            <v xml:space="preserve">Luxemburgo </v>
          </cell>
          <cell r="V344" t="str">
            <v>Luxembursko</v>
          </cell>
          <cell r="W344" t="str">
            <v>Luksemburg</v>
          </cell>
          <cell r="X344" t="str">
            <v>Luxemburg</v>
          </cell>
        </row>
        <row r="345">
          <cell r="A345" t="str">
            <v>LV</v>
          </cell>
          <cell r="E345" t="str">
            <v>Lotyssko</v>
          </cell>
          <cell r="F345" t="str">
            <v>Letland</v>
          </cell>
          <cell r="G345" t="str">
            <v>Lettland</v>
          </cell>
          <cell r="H345" t="str">
            <v>Λετονία</v>
          </cell>
          <cell r="I345" t="str">
            <v>Latvia</v>
          </cell>
          <cell r="J345" t="str">
            <v xml:space="preserve">Letonia </v>
          </cell>
          <cell r="K345" t="str">
            <v>Läti</v>
          </cell>
          <cell r="L345" t="str">
            <v>Latvia</v>
          </cell>
          <cell r="M345" t="str">
            <v>Lettonie</v>
          </cell>
          <cell r="N345" t="str">
            <v xml:space="preserve">Lettország </v>
          </cell>
          <cell r="O345" t="str">
            <v xml:space="preserve">Lettonia </v>
          </cell>
          <cell r="P345" t="str">
            <v xml:space="preserve">Latvija </v>
          </cell>
          <cell r="Q345" t="str">
            <v xml:space="preserve">Latvija </v>
          </cell>
          <cell r="R345" t="str">
            <v>Latvia</v>
          </cell>
          <cell r="S345" t="str">
            <v xml:space="preserve">Letland </v>
          </cell>
          <cell r="T345" t="str">
            <v>Łotwa</v>
          </cell>
          <cell r="U345" t="str">
            <v xml:space="preserve">Letónia </v>
          </cell>
          <cell r="V345" t="str">
            <v>Lotyssko</v>
          </cell>
          <cell r="W345" t="str">
            <v xml:space="preserve">Latvija </v>
          </cell>
          <cell r="X345" t="str">
            <v>Lettland</v>
          </cell>
        </row>
        <row r="346">
          <cell r="A346" t="str">
            <v>MT</v>
          </cell>
          <cell r="E346" t="str">
            <v>Malta</v>
          </cell>
          <cell r="F346" t="str">
            <v>Malta</v>
          </cell>
          <cell r="G346" t="str">
            <v>Malta</v>
          </cell>
          <cell r="H346" t="str">
            <v>Μάλτα</v>
          </cell>
          <cell r="I346" t="str">
            <v>Malta</v>
          </cell>
          <cell r="J346" t="str">
            <v xml:space="preserve">Malta </v>
          </cell>
          <cell r="K346" t="str">
            <v>Malta</v>
          </cell>
          <cell r="L346" t="str">
            <v>Malta</v>
          </cell>
          <cell r="M346" t="str">
            <v>Malte</v>
          </cell>
          <cell r="N346" t="str">
            <v xml:space="preserve">Málta </v>
          </cell>
          <cell r="O346" t="str">
            <v xml:space="preserve">Malta </v>
          </cell>
          <cell r="P346" t="str">
            <v xml:space="preserve">Malta </v>
          </cell>
          <cell r="Q346" t="str">
            <v>Malta</v>
          </cell>
          <cell r="R346" t="str">
            <v>Malta</v>
          </cell>
          <cell r="S346" t="str">
            <v xml:space="preserve">Malta </v>
          </cell>
          <cell r="T346" t="str">
            <v>Malta</v>
          </cell>
          <cell r="U346" t="str">
            <v xml:space="preserve">Malta </v>
          </cell>
          <cell r="V346" t="str">
            <v xml:space="preserve">Malta </v>
          </cell>
          <cell r="W346" t="str">
            <v>Malta</v>
          </cell>
          <cell r="X346" t="str">
            <v>Malta</v>
          </cell>
        </row>
        <row r="347">
          <cell r="A347" t="str">
            <v>NL</v>
          </cell>
          <cell r="E347" t="str">
            <v>Nizozemí</v>
          </cell>
          <cell r="F347" t="str">
            <v>Nederlandene</v>
          </cell>
          <cell r="G347" t="str">
            <v>Niederlande</v>
          </cell>
          <cell r="H347" t="str">
            <v>Κάτω Χώρες</v>
          </cell>
          <cell r="I347" t="str">
            <v>Netherlands</v>
          </cell>
          <cell r="J347" t="str">
            <v xml:space="preserve">los Países Bajos </v>
          </cell>
          <cell r="K347" t="str">
            <v>Madalmaad / Holland</v>
          </cell>
          <cell r="L347" t="str">
            <v>Alankomaat</v>
          </cell>
          <cell r="M347" t="str">
            <v>Pays-Bas</v>
          </cell>
          <cell r="N347" t="str">
            <v>Hollandia</v>
          </cell>
          <cell r="O347" t="str">
            <v xml:space="preserve">Paesi Bassi </v>
          </cell>
          <cell r="P347" t="str">
            <v>Nyderlandai, Olandija</v>
          </cell>
          <cell r="Q347" t="str">
            <v>Nīderlande</v>
          </cell>
          <cell r="R347" t="str">
            <v>Netherlands</v>
          </cell>
          <cell r="S347" t="str">
            <v xml:space="preserve">Nederland </v>
          </cell>
          <cell r="T347" t="str">
            <v>Holandia</v>
          </cell>
          <cell r="U347" t="str">
            <v xml:space="preserve">Países Baixos </v>
          </cell>
          <cell r="V347" t="str">
            <v xml:space="preserve">Holandsko </v>
          </cell>
          <cell r="W347" t="str">
            <v>Nizozemska</v>
          </cell>
          <cell r="X347" t="str">
            <v>Nederländerna</v>
          </cell>
        </row>
        <row r="348">
          <cell r="A348" t="str">
            <v>PL</v>
          </cell>
          <cell r="E348" t="str">
            <v>Polsko</v>
          </cell>
          <cell r="F348" t="str">
            <v>Polen</v>
          </cell>
          <cell r="G348" t="str">
            <v>Polen</v>
          </cell>
          <cell r="H348" t="str">
            <v>Πολωνία</v>
          </cell>
          <cell r="I348" t="str">
            <v>Poland</v>
          </cell>
          <cell r="J348" t="str">
            <v xml:space="preserve">Polonia </v>
          </cell>
          <cell r="K348" t="str">
            <v>Poola</v>
          </cell>
          <cell r="L348" t="str">
            <v>Puola</v>
          </cell>
          <cell r="M348" t="str">
            <v>Pologne</v>
          </cell>
          <cell r="N348" t="str">
            <v xml:space="preserve">Lengyelország </v>
          </cell>
          <cell r="O348" t="str">
            <v xml:space="preserve">Polonia </v>
          </cell>
          <cell r="P348" t="str">
            <v>Lenkija</v>
          </cell>
          <cell r="Q348" t="str">
            <v>Polija</v>
          </cell>
          <cell r="R348" t="str">
            <v>Poland</v>
          </cell>
          <cell r="S348" t="str">
            <v xml:space="preserve">Polen </v>
          </cell>
          <cell r="T348" t="str">
            <v>Polska</v>
          </cell>
          <cell r="U348" t="str">
            <v xml:space="preserve">Polónia </v>
          </cell>
          <cell r="V348" t="str">
            <v>Poľsko</v>
          </cell>
          <cell r="W348" t="str">
            <v>Poljska</v>
          </cell>
          <cell r="X348" t="str">
            <v>Polen</v>
          </cell>
        </row>
        <row r="349">
          <cell r="A349" t="str">
            <v>PT</v>
          </cell>
          <cell r="E349" t="str">
            <v>Portugalsko</v>
          </cell>
          <cell r="F349" t="str">
            <v>Portugal</v>
          </cell>
          <cell r="G349" t="str">
            <v>Portugal</v>
          </cell>
          <cell r="H349" t="str">
            <v>Πορτογαλία</v>
          </cell>
          <cell r="I349" t="str">
            <v>Portugal</v>
          </cell>
          <cell r="J349" t="str">
            <v xml:space="preserve">Portugal </v>
          </cell>
          <cell r="K349" t="str">
            <v xml:space="preserve">Portugal </v>
          </cell>
          <cell r="L349" t="str">
            <v>Portugal</v>
          </cell>
          <cell r="M349" t="str">
            <v>Portugal</v>
          </cell>
          <cell r="N349" t="str">
            <v xml:space="preserve">Portugália </v>
          </cell>
          <cell r="O349" t="str">
            <v xml:space="preserve">Portogallo </v>
          </cell>
          <cell r="P349" t="str">
            <v>Portugalija</v>
          </cell>
          <cell r="Q349" t="str">
            <v>Portugāle</v>
          </cell>
          <cell r="R349" t="str">
            <v>Portugal</v>
          </cell>
          <cell r="S349" t="str">
            <v xml:space="preserve">Portugal </v>
          </cell>
          <cell r="T349" t="str">
            <v>Portugalia</v>
          </cell>
          <cell r="U349" t="str">
            <v xml:space="preserve">Portugal </v>
          </cell>
          <cell r="V349" t="str">
            <v>Portugalsko</v>
          </cell>
          <cell r="W349" t="str">
            <v>Portugalska</v>
          </cell>
          <cell r="X349" t="str">
            <v>Portugal</v>
          </cell>
        </row>
        <row r="350">
          <cell r="A350" t="str">
            <v>RO</v>
          </cell>
          <cell r="E350" t="str">
            <v>Rumunsko</v>
          </cell>
          <cell r="F350" t="str">
            <v>Rumænien</v>
          </cell>
          <cell r="G350" t="str">
            <v>Rumänien</v>
          </cell>
          <cell r="H350" t="str">
            <v>Ρουμανία</v>
          </cell>
          <cell r="I350" t="str">
            <v>Romania</v>
          </cell>
          <cell r="J350" t="str">
            <v xml:space="preserve">Rumania </v>
          </cell>
          <cell r="K350" t="str">
            <v xml:space="preserve">Rumeenia </v>
          </cell>
          <cell r="L350" t="str">
            <v>Romania</v>
          </cell>
          <cell r="M350" t="str">
            <v>Roumanie</v>
          </cell>
          <cell r="N350" t="str">
            <v xml:space="preserve">Románia </v>
          </cell>
          <cell r="O350" t="str">
            <v xml:space="preserve">Romania </v>
          </cell>
          <cell r="P350" t="str">
            <v>Rumunija</v>
          </cell>
          <cell r="Q350" t="str">
            <v>Rumānija</v>
          </cell>
          <cell r="R350" t="str">
            <v>Romania</v>
          </cell>
          <cell r="S350" t="str">
            <v xml:space="preserve">Roemenië </v>
          </cell>
          <cell r="T350" t="str">
            <v>Rumunia</v>
          </cell>
          <cell r="U350" t="str">
            <v xml:space="preserve">Roménia </v>
          </cell>
          <cell r="V350" t="str">
            <v>Rumunsko</v>
          </cell>
          <cell r="W350" t="str">
            <v xml:space="preserve">Romunija </v>
          </cell>
          <cell r="X350" t="str">
            <v>Rumänien</v>
          </cell>
        </row>
        <row r="351">
          <cell r="A351" t="str">
            <v>SE</v>
          </cell>
          <cell r="E351" t="str">
            <v>Svédsko</v>
          </cell>
          <cell r="F351" t="str">
            <v>Sverige</v>
          </cell>
          <cell r="G351" t="str">
            <v>Schweden</v>
          </cell>
          <cell r="H351" t="str">
            <v>Σουηδία</v>
          </cell>
          <cell r="I351" t="str">
            <v>Sweden</v>
          </cell>
          <cell r="J351" t="str">
            <v xml:space="preserve">Suecia </v>
          </cell>
          <cell r="K351" t="str">
            <v>Rootsi</v>
          </cell>
          <cell r="L351" t="str">
            <v>Ruotsi</v>
          </cell>
          <cell r="M351" t="str">
            <v>Suède</v>
          </cell>
          <cell r="N351" t="str">
            <v xml:space="preserve">Svédország </v>
          </cell>
          <cell r="O351" t="str">
            <v xml:space="preserve">Svezia </v>
          </cell>
          <cell r="P351" t="str">
            <v>Svedija</v>
          </cell>
          <cell r="Q351" t="str">
            <v>Zviedrija</v>
          </cell>
          <cell r="R351" t="str">
            <v>Sweden</v>
          </cell>
          <cell r="S351" t="str">
            <v xml:space="preserve">Zweden </v>
          </cell>
          <cell r="T351" t="str">
            <v>Szwecja</v>
          </cell>
          <cell r="U351" t="str">
            <v xml:space="preserve">Suécia </v>
          </cell>
          <cell r="V351" t="str">
            <v>Svédsko</v>
          </cell>
          <cell r="W351" t="str">
            <v>Svedska</v>
          </cell>
          <cell r="X351" t="str">
            <v>Sverige</v>
          </cell>
        </row>
        <row r="352">
          <cell r="A352" t="str">
            <v>SI</v>
          </cell>
          <cell r="E352" t="str">
            <v>Slovinsko</v>
          </cell>
          <cell r="F352" t="str">
            <v>Slovenien</v>
          </cell>
          <cell r="G352" t="str">
            <v>Slowenien</v>
          </cell>
          <cell r="H352" t="str">
            <v>Σλοβενία</v>
          </cell>
          <cell r="I352" t="str">
            <v>Slovenia</v>
          </cell>
          <cell r="J352" t="str">
            <v xml:space="preserve">Eslovenia </v>
          </cell>
          <cell r="K352" t="str">
            <v>Sloveenia</v>
          </cell>
          <cell r="L352" t="str">
            <v>Slovania</v>
          </cell>
          <cell r="M352" t="str">
            <v>Slovénie</v>
          </cell>
          <cell r="N352" t="str">
            <v xml:space="preserve">Szlovénia </v>
          </cell>
          <cell r="O352" t="str">
            <v xml:space="preserve">Slovenia </v>
          </cell>
          <cell r="P352" t="str">
            <v xml:space="preserve">Slovėnija </v>
          </cell>
          <cell r="Q352" t="str">
            <v>Slovēnija</v>
          </cell>
          <cell r="R352" t="str">
            <v>Slovenia</v>
          </cell>
          <cell r="S352" t="str">
            <v xml:space="preserve">Slovenië </v>
          </cell>
          <cell r="T352" t="str">
            <v>Słowenia</v>
          </cell>
          <cell r="U352" t="str">
            <v xml:space="preserve">Eslovénia </v>
          </cell>
          <cell r="V352" t="str">
            <v xml:space="preserve">Slovinsko </v>
          </cell>
          <cell r="W352" t="str">
            <v>Slovenija</v>
          </cell>
          <cell r="X352" t="str">
            <v>Slovenien</v>
          </cell>
        </row>
        <row r="353">
          <cell r="A353" t="str">
            <v>SK</v>
          </cell>
          <cell r="E353" t="str">
            <v>Slovensko</v>
          </cell>
          <cell r="F353" t="str">
            <v>Slovakiet</v>
          </cell>
          <cell r="G353" t="str">
            <v>Slowakei</v>
          </cell>
          <cell r="H353" t="str">
            <v>Σλοβακία</v>
          </cell>
          <cell r="I353" t="str">
            <v>Slovakia</v>
          </cell>
          <cell r="J353" t="str">
            <v xml:space="preserve">Eslovaquia </v>
          </cell>
          <cell r="K353" t="str">
            <v xml:space="preserve">Slovakkia </v>
          </cell>
          <cell r="L353" t="str">
            <v>Slovekia</v>
          </cell>
          <cell r="M353" t="str">
            <v>Slovaquie</v>
          </cell>
          <cell r="N353" t="str">
            <v xml:space="preserve">Szlovákia </v>
          </cell>
          <cell r="O353" t="str">
            <v xml:space="preserve">Slovacchia </v>
          </cell>
          <cell r="P353" t="str">
            <v>Slovakija</v>
          </cell>
          <cell r="Q353" t="str">
            <v xml:space="preserve">Slovākija </v>
          </cell>
          <cell r="R353" t="str">
            <v>Slovakia</v>
          </cell>
          <cell r="S353" t="str">
            <v xml:space="preserve">Slovakije </v>
          </cell>
          <cell r="T353" t="str">
            <v>Słowacja</v>
          </cell>
          <cell r="U353" t="str">
            <v xml:space="preserve">Eslováquia </v>
          </cell>
          <cell r="V353" t="str">
            <v>Slovensko</v>
          </cell>
          <cell r="W353" t="str">
            <v xml:space="preserve">Slovaska </v>
          </cell>
          <cell r="X353" t="str">
            <v>Slovakien</v>
          </cell>
        </row>
        <row r="354">
          <cell r="A354" t="str">
            <v>TR</v>
          </cell>
          <cell r="E354" t="str">
            <v>Turecko</v>
          </cell>
          <cell r="F354" t="str">
            <v>Tyrkiet</v>
          </cell>
          <cell r="G354" t="str">
            <v>Türkei</v>
          </cell>
          <cell r="H354" t="str">
            <v>Τουρκία</v>
          </cell>
          <cell r="I354" t="str">
            <v>Turkey</v>
          </cell>
          <cell r="J354" t="str">
            <v xml:space="preserve">Turquía </v>
          </cell>
          <cell r="K354" t="str">
            <v xml:space="preserve">Türgi </v>
          </cell>
          <cell r="L354" t="str">
            <v>Turkki</v>
          </cell>
          <cell r="M354" t="str">
            <v>Turquie</v>
          </cell>
          <cell r="N354" t="str">
            <v xml:space="preserve">Törökország </v>
          </cell>
          <cell r="O354" t="str">
            <v xml:space="preserve">Turchia </v>
          </cell>
          <cell r="P354" t="str">
            <v>Turkija</v>
          </cell>
          <cell r="Q354" t="str">
            <v>Turcija</v>
          </cell>
          <cell r="R354" t="str">
            <v>Turkey</v>
          </cell>
          <cell r="S354" t="str">
            <v xml:space="preserve">Turkije </v>
          </cell>
          <cell r="T354" t="str">
            <v>Turcja</v>
          </cell>
          <cell r="U354" t="str">
            <v xml:space="preserve">Turquia </v>
          </cell>
          <cell r="V354" t="str">
            <v xml:space="preserve">Turecko </v>
          </cell>
          <cell r="W354" t="str">
            <v xml:space="preserve">Turčija </v>
          </cell>
          <cell r="X354" t="str">
            <v>Turkiet</v>
          </cell>
        </row>
        <row r="355">
          <cell r="A355" t="str">
            <v>UK</v>
          </cell>
          <cell r="E355" t="str">
            <v>Spojené království</v>
          </cell>
          <cell r="F355" t="str">
            <v>Det Forenede Kongerige</v>
          </cell>
          <cell r="G355" t="str">
            <v>Vereinigtes Königreich</v>
          </cell>
          <cell r="H355" t="str">
            <v>Ηνωμένο Βασίλειο</v>
          </cell>
          <cell r="I355" t="str">
            <v>United Kingdom</v>
          </cell>
          <cell r="J355" t="str">
            <v xml:space="preserve">el Reino Unido </v>
          </cell>
          <cell r="K355" t="str">
            <v>Suurbritannia /</v>
          </cell>
          <cell r="L355" t="str">
            <v>Yhdistynyt kuningaskunta</v>
          </cell>
          <cell r="M355" t="str">
            <v>Royaume-uni</v>
          </cell>
          <cell r="N355" t="str">
            <v xml:space="preserve">Egyesült </v>
          </cell>
          <cell r="O355" t="str">
            <v xml:space="preserve">Regno Unito </v>
          </cell>
          <cell r="P355" t="str">
            <v>Jungtinė Karalystė, Didzioji Britanija</v>
          </cell>
          <cell r="Q355" t="str">
            <v>Apvienotā Karaliste</v>
          </cell>
          <cell r="R355" t="str">
            <v>United Kingdom</v>
          </cell>
          <cell r="S355" t="str">
            <v xml:space="preserve">Verenigd Koninkrijk </v>
          </cell>
          <cell r="T355" t="str">
            <v>Wielka Brytania</v>
          </cell>
          <cell r="U355" t="str">
            <v xml:space="preserve">Reino Unido </v>
          </cell>
          <cell r="V355" t="str">
            <v>Spojené Kráľovstvo</v>
          </cell>
          <cell r="W355" t="str">
            <v>Zdruzeno kraljestvo</v>
          </cell>
          <cell r="X355" t="str">
            <v>Storbritannien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llomanyi_adatok_publi_millióFt"/>
      <sheetName val="allomanyi_adatok_ugyfelszam_db"/>
      <sheetName val="allomanyi_adatok_ugyletszam_db"/>
      <sheetName val="uj_hitelek_publi_millió Ft"/>
      <sheetName val="uj_hitelek_ugyfelszam_db"/>
      <sheetName val="uj_hitelek_ugyletszam_db"/>
    </sheetNames>
    <sheetDataSet>
      <sheetData sheetId="0">
        <row r="48">
          <cell r="B48">
            <v>249189.26360400001</v>
          </cell>
          <cell r="C48">
            <v>11517.599093999999</v>
          </cell>
          <cell r="E48">
            <v>80180.566282</v>
          </cell>
          <cell r="F48">
            <v>3161.0216310000001</v>
          </cell>
          <cell r="H48">
            <v>34609.264311999999</v>
          </cell>
          <cell r="I48">
            <v>378657.71492300002</v>
          </cell>
          <cell r="J48">
            <v>6985.8900460000004</v>
          </cell>
          <cell r="L48">
            <v>29.870885999999999</v>
          </cell>
          <cell r="M48">
            <v>552.30000600000005</v>
          </cell>
          <cell r="N48">
            <v>8754.8876409999993</v>
          </cell>
          <cell r="O48">
            <v>387412.602564</v>
          </cell>
        </row>
        <row r="83">
          <cell r="B83">
            <v>2232.5745010000001</v>
          </cell>
          <cell r="C83">
            <v>496.95698099999998</v>
          </cell>
          <cell r="E83">
            <v>1813.790765</v>
          </cell>
          <cell r="F83">
            <v>201.83665199999999</v>
          </cell>
          <cell r="H83">
            <v>209.012213</v>
          </cell>
          <cell r="I83">
            <v>4954.171112</v>
          </cell>
          <cell r="M83">
            <v>5.7620999999999999E-2</v>
          </cell>
          <cell r="N83">
            <v>9.8321000000000006E-2</v>
          </cell>
          <cell r="O83">
            <v>4954.2694330000004</v>
          </cell>
        </row>
        <row r="144">
          <cell r="B144">
            <v>274350.92418099998</v>
          </cell>
          <cell r="C144">
            <v>133630.26633300001</v>
          </cell>
          <cell r="E144">
            <v>87941.093036000006</v>
          </cell>
          <cell r="F144">
            <v>14875.829895000001</v>
          </cell>
          <cell r="H144">
            <v>23650.379010000001</v>
          </cell>
          <cell r="I144">
            <v>534448.49245500006</v>
          </cell>
          <cell r="J144">
            <v>89068.749009000006</v>
          </cell>
          <cell r="K144">
            <v>29832.360973999999</v>
          </cell>
          <cell r="L144">
            <v>24603.558997</v>
          </cell>
          <cell r="M144">
            <v>6904.5023090000004</v>
          </cell>
          <cell r="N144">
            <v>150409.17128899999</v>
          </cell>
          <cell r="O144">
            <v>684857.66374400002</v>
          </cell>
        </row>
        <row r="179">
          <cell r="B179">
            <v>161980.055402</v>
          </cell>
          <cell r="C179">
            <v>110673.103466</v>
          </cell>
          <cell r="E179">
            <v>79325.053492000006</v>
          </cell>
          <cell r="F179">
            <v>17167.505671999999</v>
          </cell>
          <cell r="H179">
            <v>6206.9903780000004</v>
          </cell>
          <cell r="I179">
            <v>375352.70841000002</v>
          </cell>
          <cell r="J179">
            <v>137989.69896000001</v>
          </cell>
          <cell r="K179">
            <v>88758.048486</v>
          </cell>
          <cell r="L179">
            <v>82913.997552000001</v>
          </cell>
          <cell r="M179">
            <v>15835.674069000001</v>
          </cell>
          <cell r="N179">
            <v>325497.41906699998</v>
          </cell>
          <cell r="O179">
            <v>700850.127477</v>
          </cell>
        </row>
      </sheetData>
      <sheetData sheetId="1">
        <row r="48">
          <cell r="B48">
            <v>8532</v>
          </cell>
          <cell r="C48">
            <v>696</v>
          </cell>
          <cell r="E48">
            <v>9452</v>
          </cell>
          <cell r="F48">
            <v>3915</v>
          </cell>
          <cell r="H48">
            <v>4623</v>
          </cell>
          <cell r="J48">
            <v>77</v>
          </cell>
          <cell r="K48">
            <v>1</v>
          </cell>
          <cell r="L48">
            <v>93</v>
          </cell>
          <cell r="M48">
            <v>233</v>
          </cell>
        </row>
        <row r="83">
          <cell r="B83">
            <v>108</v>
          </cell>
          <cell r="C83">
            <v>26</v>
          </cell>
          <cell r="E83">
            <v>178</v>
          </cell>
          <cell r="F83">
            <v>118</v>
          </cell>
          <cell r="H83">
            <v>167</v>
          </cell>
          <cell r="L83">
            <v>3</v>
          </cell>
          <cell r="M83">
            <v>6</v>
          </cell>
        </row>
        <row r="144">
          <cell r="B144">
            <v>2142</v>
          </cell>
          <cell r="C144">
            <v>824</v>
          </cell>
          <cell r="E144">
            <v>2497</v>
          </cell>
          <cell r="F144">
            <v>977</v>
          </cell>
          <cell r="H144">
            <v>2014</v>
          </cell>
          <cell r="J144">
            <v>205</v>
          </cell>
          <cell r="K144">
            <v>56</v>
          </cell>
          <cell r="L144">
            <v>155</v>
          </cell>
          <cell r="M144">
            <v>412</v>
          </cell>
        </row>
        <row r="179">
          <cell r="B179">
            <v>945</v>
          </cell>
          <cell r="C179">
            <v>499</v>
          </cell>
          <cell r="E179">
            <v>1038</v>
          </cell>
          <cell r="F179">
            <v>522</v>
          </cell>
          <cell r="H179">
            <v>1172</v>
          </cell>
          <cell r="J179">
            <v>90</v>
          </cell>
          <cell r="K179">
            <v>58</v>
          </cell>
          <cell r="L179">
            <v>170</v>
          </cell>
          <cell r="M179">
            <v>326</v>
          </cell>
        </row>
      </sheetData>
      <sheetData sheetId="2"/>
      <sheetData sheetId="3">
        <row r="48">
          <cell r="B48">
            <v>5337.4228519999997</v>
          </cell>
          <cell r="C48">
            <v>1360.7993220000001</v>
          </cell>
          <cell r="E48">
            <v>7622.4431759999998</v>
          </cell>
          <cell r="F48">
            <v>2095.2861360000002</v>
          </cell>
          <cell r="H48">
            <v>4331.6375369999996</v>
          </cell>
          <cell r="J48">
            <v>206.831784</v>
          </cell>
          <cell r="M48">
            <v>97.587157000000005</v>
          </cell>
        </row>
        <row r="83">
          <cell r="B83">
            <v>83.241308000000004</v>
          </cell>
          <cell r="E83">
            <v>207.10449</v>
          </cell>
          <cell r="H83">
            <v>0.73180000000000001</v>
          </cell>
        </row>
        <row r="144">
          <cell r="B144">
            <v>6917.7761680000003</v>
          </cell>
          <cell r="C144">
            <v>8578.4503339999992</v>
          </cell>
          <cell r="E144">
            <v>5802.0678049999997</v>
          </cell>
          <cell r="F144">
            <v>8835.1949179999992</v>
          </cell>
          <cell r="H144">
            <v>3820.764283</v>
          </cell>
          <cell r="J144">
            <v>2815.1442269999998</v>
          </cell>
          <cell r="K144">
            <v>4050.159075</v>
          </cell>
          <cell r="L144">
            <v>6228.3124180000004</v>
          </cell>
          <cell r="M144">
            <v>226.10064700000001</v>
          </cell>
        </row>
        <row r="179">
          <cell r="B179">
            <v>4382.8741529999998</v>
          </cell>
          <cell r="C179">
            <v>6840.8220899999997</v>
          </cell>
          <cell r="E179">
            <v>10730.724887</v>
          </cell>
          <cell r="F179">
            <v>10810.537602</v>
          </cell>
          <cell r="H179">
            <v>283.04332900000003</v>
          </cell>
          <cell r="J179">
            <v>1250.5161909999999</v>
          </cell>
          <cell r="K179">
            <v>5576.8708900000001</v>
          </cell>
          <cell r="M179">
            <v>127.665192</v>
          </cell>
        </row>
      </sheetData>
      <sheetData sheetId="4"/>
      <sheetData sheetId="5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llomanyi_adatok_ezerFt"/>
      <sheetName val="allomanyi_adatok_ugyletszam_db"/>
      <sheetName val="allomanyi_adatok_ugyfelszam_db"/>
      <sheetName val="uj_hitelek_ezerFt"/>
      <sheetName val="uj_hitelek_ugyletszam_db"/>
      <sheetName val="uj_hitelek_ugyfelszam_db"/>
    </sheetNames>
    <sheetDataSet>
      <sheetData sheetId="0">
        <row r="48">
          <cell r="I48">
            <v>363592.993594</v>
          </cell>
          <cell r="N48">
            <v>7528.6075410000003</v>
          </cell>
          <cell r="O48">
            <v>371121.601135</v>
          </cell>
        </row>
        <row r="83">
          <cell r="B83">
            <v>1980.444833</v>
          </cell>
          <cell r="C83">
            <v>201.441374</v>
          </cell>
          <cell r="E83">
            <v>2526.942106</v>
          </cell>
          <cell r="F83">
            <v>145.720777</v>
          </cell>
          <cell r="H83">
            <v>662.87899600000003</v>
          </cell>
          <cell r="I83">
            <v>5517.4280859999999</v>
          </cell>
          <cell r="O83">
            <v>5517.4280859999999</v>
          </cell>
        </row>
        <row r="144">
          <cell r="I144">
            <v>527057.861408</v>
          </cell>
          <cell r="N144">
            <v>85625.774963999997</v>
          </cell>
          <cell r="O144">
            <v>612683.63637199998</v>
          </cell>
        </row>
        <row r="179">
          <cell r="B179">
            <v>169260.185493</v>
          </cell>
          <cell r="C179">
            <v>137401.58732799999</v>
          </cell>
          <cell r="E179">
            <v>96067.597175000003</v>
          </cell>
          <cell r="F179">
            <v>33971.106575999998</v>
          </cell>
          <cell r="H179">
            <v>21653.680034000001</v>
          </cell>
          <cell r="I179">
            <v>458354.15660599997</v>
          </cell>
          <cell r="J179">
            <v>99117.949624999994</v>
          </cell>
          <cell r="K179">
            <v>43730.719899999996</v>
          </cell>
          <cell r="L179">
            <v>108638.859189</v>
          </cell>
          <cell r="M179">
            <v>29348.959715000001</v>
          </cell>
          <cell r="N179">
            <v>280836.48842900002</v>
          </cell>
          <cell r="O179">
            <v>739190.64503500005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llomanyi_adatok_publi_ezerFt"/>
      <sheetName val="allomanyi_adatok_ugyletszam_db"/>
      <sheetName val="allomanyi_adatok_ugyfelszam_db"/>
      <sheetName val="uj_hitelek_publi_ezerFt"/>
      <sheetName val="uj_hitelek_ugyletszam_db"/>
      <sheetName val="uj_hitelek_ugyfelszam_db"/>
    </sheetNames>
    <sheetDataSet>
      <sheetData sheetId="0">
        <row r="48">
          <cell r="I48">
            <v>378117.269432</v>
          </cell>
          <cell r="N48">
            <v>8047.3819149999999</v>
          </cell>
          <cell r="O48">
            <v>386164.65134699998</v>
          </cell>
        </row>
        <row r="83">
          <cell r="B83">
            <v>1865.6404</v>
          </cell>
          <cell r="C83">
            <v>206.09703500000001</v>
          </cell>
          <cell r="E83">
            <v>2477.914816</v>
          </cell>
          <cell r="F83">
            <v>140.34723600000001</v>
          </cell>
          <cell r="H83">
            <v>714.06185200000004</v>
          </cell>
          <cell r="I83">
            <v>5404.0613389999999</v>
          </cell>
          <cell r="O83">
            <v>5404.0613389999999</v>
          </cell>
        </row>
        <row r="144">
          <cell r="I144">
            <v>559508.18825699994</v>
          </cell>
          <cell r="N144">
            <v>98254.266292999993</v>
          </cell>
          <cell r="O144">
            <v>657762.45455000002</v>
          </cell>
        </row>
        <row r="179">
          <cell r="B179">
            <v>172908.792537</v>
          </cell>
          <cell r="C179">
            <v>150769.012178</v>
          </cell>
          <cell r="E179">
            <v>79511.613358999995</v>
          </cell>
          <cell r="F179">
            <v>25211.840910999999</v>
          </cell>
          <cell r="H179">
            <v>17884.434815000001</v>
          </cell>
          <cell r="I179">
            <v>446285.69380000001</v>
          </cell>
          <cell r="J179">
            <v>106836.232708</v>
          </cell>
          <cell r="K179">
            <v>51260.102604</v>
          </cell>
          <cell r="L179">
            <v>89901.348249999995</v>
          </cell>
          <cell r="M179">
            <v>31948.216581000001</v>
          </cell>
          <cell r="N179">
            <v>279945.90014300001</v>
          </cell>
          <cell r="O179">
            <v>726231.59394299996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llomanyi_adatok_publi_ezerFt"/>
      <sheetName val="allomanyi_adatok_ugyletszam_db"/>
      <sheetName val="allomanyi_adatok_ugyfelszam_db"/>
      <sheetName val="uj_hitelek_publi_ezerFt"/>
      <sheetName val="uj_hitelek_ugyletszam_db"/>
      <sheetName val="uj_hitelek_ugyfelszam_db"/>
    </sheetNames>
    <sheetDataSet>
      <sheetData sheetId="0">
        <row r="48">
          <cell r="I48">
            <v>375870.26752400002</v>
          </cell>
          <cell r="N48">
            <v>8641.3505449999993</v>
          </cell>
          <cell r="O48">
            <v>384511.61806900002</v>
          </cell>
        </row>
        <row r="83">
          <cell r="B83">
            <v>1808.653757</v>
          </cell>
          <cell r="C83">
            <v>366.81207899999998</v>
          </cell>
          <cell r="E83">
            <v>2097.8829179999998</v>
          </cell>
          <cell r="F83">
            <v>151.537508</v>
          </cell>
          <cell r="H83">
            <v>599.95387700000003</v>
          </cell>
          <cell r="I83">
            <v>5024.8401389999999</v>
          </cell>
          <cell r="O83">
            <v>5024.8401389999999</v>
          </cell>
        </row>
        <row r="144">
          <cell r="I144">
            <v>560856.71291799995</v>
          </cell>
          <cell r="N144">
            <v>120378.276323</v>
          </cell>
          <cell r="O144">
            <v>681234.98924100003</v>
          </cell>
        </row>
        <row r="179">
          <cell r="B179">
            <v>179315.06946200001</v>
          </cell>
          <cell r="C179">
            <v>150121.52198799999</v>
          </cell>
          <cell r="E179">
            <v>71622.410491999995</v>
          </cell>
          <cell r="F179">
            <v>20054.741704</v>
          </cell>
          <cell r="H179">
            <v>15651.811646</v>
          </cell>
          <cell r="I179">
            <v>436765.555292</v>
          </cell>
          <cell r="J179">
            <v>113219.731701</v>
          </cell>
          <cell r="K179">
            <v>68482.606719999996</v>
          </cell>
          <cell r="L179">
            <v>100802.519061</v>
          </cell>
          <cell r="M179">
            <v>34102.331055000002</v>
          </cell>
          <cell r="N179">
            <v>316607.18853699998</v>
          </cell>
          <cell r="O179">
            <v>753372.74382900004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llomanyi_adatok_publi_ezerFt"/>
      <sheetName val="allomanyi_adatok_ugyletszam_db"/>
      <sheetName val="allomanyi_adatok_ugyfelszam_db"/>
      <sheetName val="uj_hitelek_publi_ezerFt"/>
      <sheetName val="uj_hitelek_ugyletszam_db"/>
      <sheetName val="uj_hitelek_ugyfelszam_db"/>
    </sheetNames>
    <sheetDataSet>
      <sheetData sheetId="0">
        <row r="48">
          <cell r="I48">
            <v>364708.70037400001</v>
          </cell>
          <cell r="N48">
            <v>8894.4356250000001</v>
          </cell>
          <cell r="O48">
            <v>373603.13599899999</v>
          </cell>
        </row>
        <row r="83">
          <cell r="B83">
            <v>1875.369535</v>
          </cell>
          <cell r="C83">
            <v>595.65870800000005</v>
          </cell>
          <cell r="E83">
            <v>1903.1694379999999</v>
          </cell>
          <cell r="F83">
            <v>2.644819</v>
          </cell>
          <cell r="H83">
            <v>576.32806300000004</v>
          </cell>
          <cell r="I83">
            <v>4953.1705629999997</v>
          </cell>
          <cell r="M83">
            <v>0.13538800000000001</v>
          </cell>
          <cell r="N83">
            <v>0.13538800000000001</v>
          </cell>
          <cell r="O83">
            <v>4953.3059510000003</v>
          </cell>
        </row>
        <row r="144">
          <cell r="I144">
            <v>548692.49813299999</v>
          </cell>
          <cell r="N144">
            <v>134905.230618</v>
          </cell>
          <cell r="O144">
            <v>683597.72875100002</v>
          </cell>
        </row>
        <row r="179">
          <cell r="B179">
            <v>173979.552482</v>
          </cell>
          <cell r="C179">
            <v>155305.25614499999</v>
          </cell>
          <cell r="E179">
            <v>70824.749930000005</v>
          </cell>
          <cell r="F179">
            <v>17777.806477999999</v>
          </cell>
          <cell r="H179">
            <v>19295.615992999999</v>
          </cell>
          <cell r="I179">
            <v>437182.98102800001</v>
          </cell>
          <cell r="J179">
            <v>119561.456651</v>
          </cell>
          <cell r="K179">
            <v>77646.529137000005</v>
          </cell>
          <cell r="L179">
            <v>79504.292010000005</v>
          </cell>
          <cell r="M179">
            <v>30665.775559000002</v>
          </cell>
          <cell r="N179">
            <v>307378.053357</v>
          </cell>
          <cell r="O179">
            <v>744561.03438500001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llomanyi_adatok_publi_ezerFt"/>
      <sheetName val="allomanyi_adatok_ugyletszam_db"/>
      <sheetName val="allomanyi_adatok_ugyfelszam_db"/>
      <sheetName val="uj_hitelek_publi_ezerFt"/>
      <sheetName val="uj_hitelek_ugyletszam_db"/>
      <sheetName val="uj_hitelek_ugyfelszam_db"/>
    </sheetNames>
    <sheetDataSet>
      <sheetData sheetId="0">
        <row r="48">
          <cell r="I48">
            <v>370643.796286</v>
          </cell>
          <cell r="N48">
            <v>8868.1227299999991</v>
          </cell>
          <cell r="O48">
            <v>379511.919016</v>
          </cell>
        </row>
        <row r="83">
          <cell r="B83">
            <v>1982.611645</v>
          </cell>
          <cell r="C83">
            <v>602.42486299999996</v>
          </cell>
          <cell r="E83">
            <v>1762.2518540000001</v>
          </cell>
          <cell r="F83">
            <v>215.409763</v>
          </cell>
          <cell r="H83">
            <v>239.78484499999999</v>
          </cell>
          <cell r="I83">
            <v>4802.48297</v>
          </cell>
          <cell r="M83">
            <v>8.3944000000000005E-2</v>
          </cell>
          <cell r="N83">
            <v>8.3944000000000005E-2</v>
          </cell>
          <cell r="O83">
            <v>4802.566914</v>
          </cell>
        </row>
        <row r="144">
          <cell r="I144">
            <v>537568.086564</v>
          </cell>
          <cell r="N144">
            <v>147707.46150400001</v>
          </cell>
          <cell r="O144">
            <v>685275.548068</v>
          </cell>
        </row>
        <row r="179">
          <cell r="B179">
            <v>167400.895709</v>
          </cell>
          <cell r="C179">
            <v>131769.12510599999</v>
          </cell>
          <cell r="E179">
            <v>85526.087568999996</v>
          </cell>
          <cell r="F179">
            <v>18993.330827999998</v>
          </cell>
          <cell r="H179">
            <v>10611.871160999999</v>
          </cell>
          <cell r="I179">
            <v>414301.31037299999</v>
          </cell>
          <cell r="J179">
            <v>133579.24074899999</v>
          </cell>
          <cell r="K179">
            <v>83584.833910000001</v>
          </cell>
          <cell r="L179">
            <v>89624.027665000001</v>
          </cell>
          <cell r="M179">
            <v>16637.528943000001</v>
          </cell>
          <cell r="N179">
            <v>323425.63126699999</v>
          </cell>
          <cell r="O179">
            <v>737726.94163999998</v>
          </cell>
        </row>
      </sheetData>
      <sheetData sheetId="1"/>
      <sheetData sheetId="2"/>
      <sheetData sheetId="3"/>
      <sheetData sheetId="4"/>
      <sheetData sheetId="5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llomanyi_adatok_publi_millióFt"/>
      <sheetName val="allomanyi_adatok_ugyfelszam_db"/>
      <sheetName val="allomanyi_adatok_ugyletszam_db"/>
      <sheetName val="uj_hitelek_publi_millió Ft"/>
      <sheetName val="uj_hitelek_ugyfelszam_db"/>
      <sheetName val="uj_hitelek_ugyletszam_db"/>
    </sheetNames>
    <sheetDataSet>
      <sheetData sheetId="0">
        <row r="48">
          <cell r="B48">
            <v>244377.92503799999</v>
          </cell>
          <cell r="C48">
            <v>11596.874329</v>
          </cell>
          <cell r="E48">
            <v>78841.485910999996</v>
          </cell>
          <cell r="F48">
            <v>6983.652204</v>
          </cell>
          <cell r="H48">
            <v>33149.334272</v>
          </cell>
          <cell r="I48">
            <v>374949.27175399999</v>
          </cell>
          <cell r="J48">
            <v>6900.8445000000002</v>
          </cell>
          <cell r="L48">
            <v>20.322472999999999</v>
          </cell>
          <cell r="M48">
            <v>511.67204600000002</v>
          </cell>
          <cell r="N48">
            <v>8626.2938630000008</v>
          </cell>
          <cell r="O48">
            <v>383575.56561699999</v>
          </cell>
        </row>
        <row r="83">
          <cell r="B83">
            <v>2180.8401859999999</v>
          </cell>
          <cell r="C83">
            <v>484.95094799999998</v>
          </cell>
          <cell r="E83">
            <v>2236.7599829999999</v>
          </cell>
          <cell r="F83">
            <v>239.144836</v>
          </cell>
          <cell r="H83">
            <v>200.926605</v>
          </cell>
          <cell r="I83">
            <v>5342.622558</v>
          </cell>
          <cell r="M83">
            <v>7.3446999999999998E-2</v>
          </cell>
          <cell r="N83">
            <v>0.12155199999999999</v>
          </cell>
          <cell r="O83">
            <v>5342.7441099999996</v>
          </cell>
        </row>
        <row r="144">
          <cell r="B144">
            <v>266458.05625099997</v>
          </cell>
          <cell r="C144">
            <v>119414.784698</v>
          </cell>
          <cell r="E144">
            <v>90919.247461999999</v>
          </cell>
          <cell r="F144">
            <v>24731.724676000002</v>
          </cell>
          <cell r="H144">
            <v>22318.325654</v>
          </cell>
          <cell r="I144">
            <v>523842.13874099997</v>
          </cell>
          <cell r="J144">
            <v>92136.408066000004</v>
          </cell>
          <cell r="L144">
            <v>24145.803683999999</v>
          </cell>
          <cell r="M144">
            <v>6625.4104630000002</v>
          </cell>
          <cell r="N144">
            <v>153370.15986300001</v>
          </cell>
          <cell r="O144">
            <v>677212.29860400001</v>
          </cell>
        </row>
        <row r="179">
          <cell r="B179">
            <v>153144.434114</v>
          </cell>
          <cell r="C179">
            <v>109690.11124899999</v>
          </cell>
          <cell r="E179">
            <v>71572.905960999997</v>
          </cell>
          <cell r="F179">
            <v>25544.165545</v>
          </cell>
          <cell r="H179">
            <v>9156.6034959999997</v>
          </cell>
          <cell r="I179">
            <v>369108.22036500002</v>
          </cell>
          <cell r="J179">
            <v>141558.15726599999</v>
          </cell>
          <cell r="K179">
            <v>89073.758897000007</v>
          </cell>
          <cell r="L179">
            <v>100566.154648</v>
          </cell>
          <cell r="M179">
            <v>15460.136861000001</v>
          </cell>
          <cell r="N179">
            <v>346658.20767199999</v>
          </cell>
          <cell r="O179">
            <v>715766.42803700001</v>
          </cell>
        </row>
      </sheetData>
      <sheetData sheetId="1">
        <row r="48">
          <cell r="B48">
            <v>8429</v>
          </cell>
          <cell r="C48">
            <v>703</v>
          </cell>
          <cell r="E48">
            <v>9287</v>
          </cell>
          <cell r="F48">
            <v>5468</v>
          </cell>
          <cell r="H48">
            <v>4988</v>
          </cell>
          <cell r="J48">
            <v>78</v>
          </cell>
          <cell r="K48">
            <v>1</v>
          </cell>
          <cell r="L48">
            <v>85</v>
          </cell>
          <cell r="M48">
            <v>233</v>
          </cell>
        </row>
        <row r="83">
          <cell r="B83">
            <v>108</v>
          </cell>
          <cell r="C83">
            <v>28</v>
          </cell>
          <cell r="E83">
            <v>179</v>
          </cell>
          <cell r="F83">
            <v>156</v>
          </cell>
          <cell r="H83">
            <v>160</v>
          </cell>
          <cell r="L83">
            <v>1</v>
          </cell>
          <cell r="M83">
            <v>7</v>
          </cell>
        </row>
        <row r="144">
          <cell r="B144">
            <v>2115</v>
          </cell>
          <cell r="C144">
            <v>812</v>
          </cell>
          <cell r="E144">
            <v>2483</v>
          </cell>
          <cell r="F144">
            <v>1296</v>
          </cell>
          <cell r="H144">
            <v>2027</v>
          </cell>
          <cell r="J144">
            <v>210</v>
          </cell>
          <cell r="K144">
            <v>59</v>
          </cell>
          <cell r="L144">
            <v>160</v>
          </cell>
          <cell r="M144">
            <v>411</v>
          </cell>
        </row>
        <row r="179">
          <cell r="B179">
            <v>925</v>
          </cell>
          <cell r="C179">
            <v>486</v>
          </cell>
          <cell r="E179">
            <v>1045</v>
          </cell>
          <cell r="F179">
            <v>611</v>
          </cell>
          <cell r="H179">
            <v>1171</v>
          </cell>
          <cell r="J179">
            <v>93</v>
          </cell>
          <cell r="K179">
            <v>59</v>
          </cell>
          <cell r="L179">
            <v>148</v>
          </cell>
          <cell r="M179">
            <v>341</v>
          </cell>
        </row>
      </sheetData>
      <sheetData sheetId="2"/>
      <sheetData sheetId="3">
        <row r="83">
          <cell r="B83">
            <v>49.626890000000003</v>
          </cell>
          <cell r="C83">
            <v>43.518636999999998</v>
          </cell>
          <cell r="E83">
            <v>15.335597999999999</v>
          </cell>
          <cell r="F83">
            <v>43.564684</v>
          </cell>
          <cell r="H83">
            <v>1.266213</v>
          </cell>
        </row>
        <row r="179">
          <cell r="B179">
            <v>6639.6781360000004</v>
          </cell>
          <cell r="C179">
            <v>4024.4063489999999</v>
          </cell>
          <cell r="E179">
            <v>4530.9663680000003</v>
          </cell>
          <cell r="F179">
            <v>19113.068753</v>
          </cell>
          <cell r="H179">
            <v>2269.628138</v>
          </cell>
          <cell r="J179">
            <v>8158.0731249999999</v>
          </cell>
          <cell r="K179">
            <v>5661.9199159999998</v>
          </cell>
          <cell r="L179">
            <v>40298.489719999998</v>
          </cell>
          <cell r="M179">
            <v>10.851407</v>
          </cell>
        </row>
      </sheetData>
      <sheetData sheetId="4"/>
      <sheetData sheetId="5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llomanyi_adatok_ezerFt"/>
      <sheetName val="allomanyi_adatok_ugyfelszam_db"/>
      <sheetName val="allomanyi_adatok_ugyletszam_db"/>
      <sheetName val="uj_hitelek_ezerFt"/>
      <sheetName val="uj_hitelek_ugyfelszam_db"/>
      <sheetName val="uj_hitelek_ugyletszam_db"/>
    </sheetNames>
    <sheetDataSet>
      <sheetData sheetId="0" refreshError="1">
        <row r="48">
          <cell r="B48">
            <v>244790.053396</v>
          </cell>
          <cell r="C48">
            <v>14417.345031999999</v>
          </cell>
          <cell r="E48">
            <v>61876.877203999997</v>
          </cell>
          <cell r="F48">
            <v>1643.671343</v>
          </cell>
          <cell r="H48">
            <v>40865.046619000001</v>
          </cell>
          <cell r="J48">
            <v>5621.6156510000001</v>
          </cell>
          <cell r="K48">
            <v>1425.721129</v>
          </cell>
          <cell r="M48">
            <v>481.26733200000001</v>
          </cell>
        </row>
        <row r="144">
          <cell r="B144">
            <v>265943.432952</v>
          </cell>
          <cell r="C144">
            <v>132343.78422900001</v>
          </cell>
          <cell r="E144">
            <v>85937.100141000003</v>
          </cell>
          <cell r="F144">
            <v>13790.857706999999</v>
          </cell>
          <cell r="H144">
            <v>29042.686378999999</v>
          </cell>
          <cell r="J144">
            <v>47096.328024000002</v>
          </cell>
          <cell r="K144">
            <v>16415.735178999999</v>
          </cell>
          <cell r="L144">
            <v>14835.016428999999</v>
          </cell>
          <cell r="M144">
            <v>7278.6953320000002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llomanyi_adatok_publi_ezerFt"/>
      <sheetName val="allomanyi_adatok_ugyfelszam_db"/>
      <sheetName val="allomanyi_adatok_ugyletszam_db"/>
      <sheetName val="uj_hitelek_publi_ezerFt"/>
      <sheetName val="uj_hitelek_ugyfelszam_db"/>
      <sheetName val="uj_hitelek_ugyletszam_db"/>
    </sheetNames>
    <sheetDataSet>
      <sheetData sheetId="0" refreshError="1">
        <row r="48">
          <cell r="B48">
            <v>247524.78685199999</v>
          </cell>
          <cell r="C48">
            <v>12593.417914</v>
          </cell>
          <cell r="E48">
            <v>73969.176529999997</v>
          </cell>
          <cell r="F48">
            <v>1546.237656</v>
          </cell>
          <cell r="H48">
            <v>42483.650479999997</v>
          </cell>
          <cell r="J48">
            <v>6403.4592069999999</v>
          </cell>
          <cell r="K48">
            <v>1148.6378480000001</v>
          </cell>
          <cell r="L48">
            <v>1.3731E-2</v>
          </cell>
          <cell r="M48">
            <v>495.27112899999997</v>
          </cell>
        </row>
        <row r="144">
          <cell r="B144">
            <v>276639.10035600001</v>
          </cell>
          <cell r="C144">
            <v>147515.52307200001</v>
          </cell>
          <cell r="E144">
            <v>92038.046755999996</v>
          </cell>
          <cell r="F144">
            <v>10423.351069</v>
          </cell>
          <cell r="H144">
            <v>32892.167004000003</v>
          </cell>
          <cell r="J144">
            <v>53131.81364</v>
          </cell>
          <cell r="K144">
            <v>21911.077264</v>
          </cell>
          <cell r="L144">
            <v>14539.564796000001</v>
          </cell>
          <cell r="M144">
            <v>8671.8105930000002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llomanyi_adatok_publi_ezerFt"/>
      <sheetName val="allomanyi_adatok_ugyfelszam_db"/>
      <sheetName val="allomanyi_adatok_ugyletszam_db"/>
      <sheetName val="uj_hitelek_publi_ezerFt"/>
      <sheetName val="uj_hitelek_ugyfelszam_db"/>
      <sheetName val="uj_hitelek_ugyletszam_db"/>
    </sheetNames>
    <sheetDataSet>
      <sheetData sheetId="0" refreshError="1">
        <row r="48">
          <cell r="B48">
            <v>248730.54951800001</v>
          </cell>
          <cell r="C48">
            <v>14935.979735000001</v>
          </cell>
          <cell r="E48">
            <v>71171.154381</v>
          </cell>
          <cell r="F48">
            <v>4047.4479489999999</v>
          </cell>
          <cell r="H48">
            <v>36985.135941</v>
          </cell>
          <cell r="J48">
            <v>6949.6720459999997</v>
          </cell>
          <cell r="L48">
            <v>20.494457000000001</v>
          </cell>
          <cell r="M48">
            <v>490.74135899999999</v>
          </cell>
        </row>
        <row r="144">
          <cell r="B144">
            <v>279760.44347200001</v>
          </cell>
          <cell r="C144">
            <v>145302.84960300001</v>
          </cell>
          <cell r="E144">
            <v>89041.914923000004</v>
          </cell>
          <cell r="F144">
            <v>14393.861663</v>
          </cell>
          <cell r="H144">
            <v>32357.643257</v>
          </cell>
          <cell r="J144">
            <v>65139.975875999997</v>
          </cell>
          <cell r="K144">
            <v>29486.406020999999</v>
          </cell>
          <cell r="L144">
            <v>17765.659361000002</v>
          </cell>
          <cell r="M144">
            <v>7986.2350649999998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llomanyi_adatok_publi_ezerFt"/>
      <sheetName val="allomanyi_adatok_ugyfelszam_db"/>
      <sheetName val="allomanyi_adatok_ugyletszam_db"/>
      <sheetName val="uj_hitelek_publi_ezerFt"/>
      <sheetName val="uj_hitelek_ugyfelszam_db"/>
      <sheetName val="uj_hitelek_ugyletszam_db"/>
    </sheetNames>
    <sheetDataSet>
      <sheetData sheetId="0" refreshError="1">
        <row r="48">
          <cell r="B48">
            <v>247931.44658399999</v>
          </cell>
          <cell r="C48">
            <v>13754.260324999999</v>
          </cell>
          <cell r="E48">
            <v>66921.998861</v>
          </cell>
          <cell r="F48">
            <v>3281.1860620000002</v>
          </cell>
          <cell r="H48">
            <v>32819.808541999999</v>
          </cell>
          <cell r="J48">
            <v>7283.2178379999996</v>
          </cell>
          <cell r="L48">
            <v>8.0498639999999995</v>
          </cell>
          <cell r="M48">
            <v>454.40303699999998</v>
          </cell>
        </row>
        <row r="144">
          <cell r="B144">
            <v>279757.14557599998</v>
          </cell>
          <cell r="C144">
            <v>152541.59687099999</v>
          </cell>
          <cell r="E144">
            <v>79796.768551000001</v>
          </cell>
          <cell r="F144">
            <v>12950.125328</v>
          </cell>
          <cell r="H144">
            <v>23646.861807000001</v>
          </cell>
          <cell r="J144">
            <v>78886.891743999993</v>
          </cell>
          <cell r="K144">
            <v>28478.822812999999</v>
          </cell>
          <cell r="L144">
            <v>19485.216677</v>
          </cell>
          <cell r="M144">
            <v>8054.2993839999999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llomanyi_adatok_publi_millióFt"/>
      <sheetName val="allomanyi_adatok_ugyfelszam_db"/>
      <sheetName val="allomanyi_adatok_ugyletszam_db"/>
      <sheetName val="uj_hitelek_publi_millió Ft"/>
      <sheetName val="uj_hitelek_ugyfelszam_db"/>
      <sheetName val="uj_hitelek_ugyletszam_db"/>
    </sheetNames>
    <sheetDataSet>
      <sheetData sheetId="0" refreshError="1"/>
      <sheetData sheetId="1">
        <row r="48">
          <cell r="B48">
            <v>8153</v>
          </cell>
          <cell r="C48">
            <v>638</v>
          </cell>
          <cell r="E48">
            <v>6592</v>
          </cell>
          <cell r="F48">
            <v>655</v>
          </cell>
          <cell r="H48">
            <v>1876</v>
          </cell>
          <cell r="J48">
            <v>81</v>
          </cell>
          <cell r="L48">
            <v>4</v>
          </cell>
          <cell r="M48">
            <v>16</v>
          </cell>
        </row>
        <row r="83">
          <cell r="B83">
            <v>110</v>
          </cell>
          <cell r="C83">
            <v>31</v>
          </cell>
          <cell r="E83">
            <v>153</v>
          </cell>
          <cell r="F83">
            <v>4</v>
          </cell>
          <cell r="H83">
            <v>32</v>
          </cell>
          <cell r="L83">
            <v>1</v>
          </cell>
        </row>
        <row r="144">
          <cell r="B144">
            <v>2037</v>
          </cell>
          <cell r="C144">
            <v>762</v>
          </cell>
          <cell r="E144">
            <v>1957</v>
          </cell>
          <cell r="F144">
            <v>228</v>
          </cell>
          <cell r="H144">
            <v>602</v>
          </cell>
          <cell r="J144">
            <v>210</v>
          </cell>
          <cell r="K144">
            <v>59</v>
          </cell>
          <cell r="L144">
            <v>66</v>
          </cell>
          <cell r="M144">
            <v>39</v>
          </cell>
        </row>
        <row r="179">
          <cell r="B179">
            <v>892</v>
          </cell>
          <cell r="C179">
            <v>456</v>
          </cell>
          <cell r="E179">
            <v>906</v>
          </cell>
          <cell r="F179">
            <v>81</v>
          </cell>
          <cell r="H179">
            <v>198</v>
          </cell>
          <cell r="J179">
            <v>96</v>
          </cell>
          <cell r="K179">
            <v>61</v>
          </cell>
          <cell r="L179">
            <v>100</v>
          </cell>
          <cell r="M179">
            <v>19</v>
          </cell>
        </row>
      </sheetData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19. I. Állomány adatok"/>
      <sheetName val="2019. I. - Új hitelek"/>
      <sheetName val="2019. II. Állomány adatok"/>
      <sheetName val="2019. II. - Új hitelek"/>
      <sheetName val="2019. III. Állomány adatok"/>
      <sheetName val="2019. III. - Új hitelek"/>
      <sheetName val="2019. IV. Állomány adatok"/>
      <sheetName val="2019. IV. - Új hitelek"/>
      <sheetName val="2020. I. Állomány adatok"/>
      <sheetName val="2020. I. - Új hitelek"/>
      <sheetName val="2020. II. Állományi adatok"/>
      <sheetName val="2020. II. - Új hitelek"/>
      <sheetName val="2020. III. Állományi adatok"/>
      <sheetName val="2020. III. - Új hitelek"/>
      <sheetName val="2020. IV. Állományi adatok"/>
      <sheetName val="2020. IV. Új hitelek"/>
      <sheetName val="2021. I. Állományi adatok"/>
      <sheetName val="2021. I. Új hitelek"/>
      <sheetName val="2021. II. Állományi adatok"/>
      <sheetName val="2021. II. Új hitelek"/>
      <sheetName val="2021. III. Állományi adatok "/>
      <sheetName val="2021. III. Új hitelek"/>
      <sheetName val="2021. IV. Állományi adatok"/>
      <sheetName val="2021. IV. Új hitelek"/>
      <sheetName val="2022. I. Állományi adatok"/>
      <sheetName val="2022. I. Új hitelek"/>
      <sheetName val="2022.II.Állományi adatok"/>
      <sheetName val="2022.II.Új hitelek"/>
      <sheetName val="2022. III. Állományi adatok"/>
      <sheetName val="2022. III. Új hitelek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>
        <row r="10">
          <cell r="O10">
            <v>237916</v>
          </cell>
        </row>
        <row r="34">
          <cell r="B34">
            <v>3328</v>
          </cell>
          <cell r="C34">
            <v>658</v>
          </cell>
          <cell r="E34">
            <v>1572</v>
          </cell>
          <cell r="F34">
            <v>556</v>
          </cell>
          <cell r="H34">
            <v>378</v>
          </cell>
          <cell r="J34">
            <v>0</v>
          </cell>
          <cell r="K34">
            <v>0</v>
          </cell>
          <cell r="L34">
            <v>0</v>
          </cell>
          <cell r="M34">
            <v>1</v>
          </cell>
        </row>
        <row r="81">
          <cell r="B81">
            <v>113972</v>
          </cell>
          <cell r="C81">
            <v>127459</v>
          </cell>
          <cell r="E81">
            <v>42410</v>
          </cell>
          <cell r="F81">
            <v>38268</v>
          </cell>
          <cell r="H81">
            <v>59674</v>
          </cell>
          <cell r="J81">
            <v>98590</v>
          </cell>
          <cell r="K81">
            <v>42920</v>
          </cell>
          <cell r="L81">
            <v>39548</v>
          </cell>
          <cell r="M81">
            <v>48633</v>
          </cell>
        </row>
      </sheetData>
      <sheetData sheetId="21">
        <row r="18">
          <cell r="O18">
            <v>34199</v>
          </cell>
        </row>
      </sheetData>
      <sheetData sheetId="22"/>
      <sheetData sheetId="23"/>
      <sheetData sheetId="24"/>
      <sheetData sheetId="25"/>
      <sheetData sheetId="26"/>
      <sheetData sheetId="27"/>
      <sheetData sheetId="28">
        <row r="10">
          <cell r="O10">
            <v>247336</v>
          </cell>
        </row>
        <row r="34">
          <cell r="B34">
            <v>3083</v>
          </cell>
          <cell r="C34">
            <v>688</v>
          </cell>
          <cell r="E34">
            <v>1990</v>
          </cell>
          <cell r="H34">
            <v>334</v>
          </cell>
          <cell r="J34">
            <v>0</v>
          </cell>
          <cell r="K34">
            <v>0</v>
          </cell>
          <cell r="M34">
            <v>0</v>
          </cell>
        </row>
        <row r="81">
          <cell r="B81">
            <v>136620</v>
          </cell>
          <cell r="C81">
            <v>145228</v>
          </cell>
          <cell r="E81">
            <v>41933</v>
          </cell>
          <cell r="F81">
            <v>54248</v>
          </cell>
          <cell r="H81">
            <v>58358</v>
          </cell>
          <cell r="J81">
            <v>87451</v>
          </cell>
          <cell r="K81">
            <v>55328</v>
          </cell>
          <cell r="L81">
            <v>82220</v>
          </cell>
          <cell r="M81">
            <v>66890</v>
          </cell>
        </row>
      </sheetData>
      <sheetData sheetId="29">
        <row r="18">
          <cell r="O18">
            <v>39662</v>
          </cell>
        </row>
      </sheetData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15. I. - Állományi"/>
      <sheetName val="2015. I. - Új"/>
      <sheetName val="2015. II. - Állományi"/>
      <sheetName val="2015. II. - Új"/>
      <sheetName val="2015. III. - Állományi"/>
      <sheetName val="2015. III. - Új"/>
      <sheetName val="2015. IV. - Állományi"/>
      <sheetName val="2015. IV. - Új"/>
      <sheetName val="2016. I. - Állományi"/>
      <sheetName val="2016. I. - Új"/>
      <sheetName val="2016. II. - Állományi"/>
      <sheetName val="2016. II. - Új"/>
      <sheetName val="2016. III. - Állományi"/>
      <sheetName val="2016. III. - Új"/>
      <sheetName val="2016. IV.- Állományi"/>
      <sheetName val="2016. IV. - Új"/>
      <sheetName val="2017. I. - Állományi"/>
      <sheetName val="2017. I. - Új"/>
      <sheetName val="2017. II. - Állományi"/>
      <sheetName val="2017. II. - Új"/>
      <sheetName val="2017. III. - Állományi"/>
      <sheetName val="2017. III. - Új"/>
      <sheetName val="2017. IV. - Állományi"/>
      <sheetName val="2017. IV. - Új"/>
      <sheetName val="2018. I. - Állományi_R"/>
      <sheetName val="2018. I. - Állományi_Új"/>
      <sheetName val="2018. I. - Új_R"/>
      <sheetName val="2018. I. - Új_Ú"/>
      <sheetName val="2018. II. - Állományi_R"/>
      <sheetName val="2018. II. - Állományi_Új"/>
      <sheetName val="2018. II. - Új_R"/>
      <sheetName val="2018. II. - Új_Ú"/>
      <sheetName val="2018. III. - Állományi_R"/>
      <sheetName val="2018. III. - Állományi_Új"/>
      <sheetName val="2018. III. - Új"/>
      <sheetName val="2018. III. - Új_Ú"/>
      <sheetName val="2018. IV. - Állományi_R"/>
      <sheetName val="2018. IV. - Állományi_Új"/>
      <sheetName val="2018. IV. - Új_R"/>
      <sheetName val="2018. IV. - Új_Ú"/>
      <sheetName val="2019. I. Állományi"/>
      <sheetName val="2019. I. Állomány adatok_Korr"/>
      <sheetName val="2019. I. - Új hitelek"/>
      <sheetName val="2019. I. - Új hitelek_Korr"/>
      <sheetName val="2019. I. - Új hitelek_ÚJ_JAVBB"/>
      <sheetName val="2019. II. Állomány adatok"/>
      <sheetName val="2019. II. - Új hitelek"/>
      <sheetName val="2019. II. - Új hitelek_ÚJ_JAVBB"/>
      <sheetName val="2019. III. Állomány adatok"/>
      <sheetName val="2019. III. - Új hitelek"/>
      <sheetName val="2019. III. - Új hitelek_ÚJ_JAVB"/>
      <sheetName val="2019. IV. Állomány adatok"/>
      <sheetName val="2019. IV. - Új hitelek"/>
      <sheetName val="2020. I. Állomány adatok"/>
      <sheetName val="2020. I. - Új hitelek"/>
      <sheetName val="2020. II. Állományi adatok"/>
      <sheetName val="2020. II. - Új hitelek"/>
      <sheetName val="2020. III. Állományi adatok"/>
      <sheetName val="2020. III. Új hitelek"/>
      <sheetName val="2020. IV. Állományi adatok"/>
      <sheetName val="2020. IV. Új hitelek"/>
      <sheetName val="2021. I. Állományi adatok"/>
      <sheetName val="2021. I. Új hitelek"/>
      <sheetName val="Idősorok_ábrák_Állományi"/>
      <sheetName val="Idősorok_ábrák_Új"/>
      <sheetName val="CR3, CR5 és CR10"/>
      <sheetName val="Hitelmegoszlás_szakág_2019Q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>
        <row r="14">
          <cell r="D14">
            <v>14770.100762</v>
          </cell>
          <cell r="E14">
            <v>3411.0472249999993</v>
          </cell>
          <cell r="F14">
            <v>12799.023526999999</v>
          </cell>
          <cell r="J14">
            <v>1416</v>
          </cell>
          <cell r="K14">
            <v>311.72629625999997</v>
          </cell>
        </row>
        <row r="28">
          <cell r="D28">
            <v>613.83864100000005</v>
          </cell>
          <cell r="E28">
            <v>240.69209599999999</v>
          </cell>
          <cell r="F28">
            <v>297.36931400000003</v>
          </cell>
          <cell r="J28">
            <v>0</v>
          </cell>
          <cell r="K28">
            <v>48</v>
          </cell>
        </row>
        <row r="37">
          <cell r="G37">
            <v>105240.574857</v>
          </cell>
          <cell r="L37">
            <v>3446.09953326</v>
          </cell>
        </row>
        <row r="38">
          <cell r="E38">
            <v>240.69209599999999</v>
          </cell>
          <cell r="G38">
            <v>2659.8837619999999</v>
          </cell>
          <cell r="J38">
            <v>0</v>
          </cell>
          <cell r="L38">
            <v>125</v>
          </cell>
        </row>
        <row r="53">
          <cell r="D53">
            <v>20931.189132</v>
          </cell>
          <cell r="E53">
            <v>48482.345024999995</v>
          </cell>
          <cell r="F53">
            <v>26991.669018000001</v>
          </cell>
          <cell r="G53">
            <v>304630.186942</v>
          </cell>
          <cell r="J53">
            <v>5379</v>
          </cell>
          <cell r="K53">
            <v>1545.6778059999999</v>
          </cell>
          <cell r="L53">
            <v>27918.3686961536</v>
          </cell>
        </row>
        <row r="67">
          <cell r="D67">
            <v>39904.735579</v>
          </cell>
          <cell r="E67">
            <v>62094.368843999997</v>
          </cell>
          <cell r="F67">
            <v>37370.311758000003</v>
          </cell>
          <cell r="G67">
            <v>244727.31562199997</v>
          </cell>
          <cell r="J67">
            <v>26754.493403690001</v>
          </cell>
          <cell r="K67">
            <v>30609.932000000001</v>
          </cell>
          <cell r="L67">
            <v>136308.62389929319</v>
          </cell>
        </row>
      </sheetData>
      <sheetData sheetId="9">
        <row r="37">
          <cell r="B37">
            <v>2345.5529999999999</v>
          </cell>
          <cell r="H37">
            <v>2</v>
          </cell>
        </row>
        <row r="38">
          <cell r="B38">
            <v>19.242000000000001</v>
          </cell>
          <cell r="H38">
            <v>0</v>
          </cell>
        </row>
        <row r="53">
          <cell r="B53">
            <v>2651.6340000000005</v>
          </cell>
          <cell r="H53">
            <v>205</v>
          </cell>
        </row>
        <row r="67">
          <cell r="B67">
            <v>1884.1332010000001</v>
          </cell>
          <cell r="H67">
            <v>2519.50943942</v>
          </cell>
        </row>
      </sheetData>
      <sheetData sheetId="10">
        <row r="14">
          <cell r="D14">
            <v>17132.492857000001</v>
          </cell>
          <cell r="E14">
            <v>3174.8538999999996</v>
          </cell>
          <cell r="F14">
            <v>15187.862220999999</v>
          </cell>
          <cell r="J14">
            <v>474.82201099999997</v>
          </cell>
          <cell r="K14">
            <v>282.44850300000002</v>
          </cell>
        </row>
        <row r="28">
          <cell r="D28">
            <v>691.37029499999994</v>
          </cell>
          <cell r="E28">
            <v>179.683491</v>
          </cell>
          <cell r="F28">
            <v>311.69072700000004</v>
          </cell>
          <cell r="J28">
            <v>0</v>
          </cell>
          <cell r="K28">
            <v>51.995999999999995</v>
          </cell>
        </row>
        <row r="37">
          <cell r="G37">
            <v>119868.317177</v>
          </cell>
          <cell r="L37">
            <v>2397.925283</v>
          </cell>
        </row>
        <row r="38">
          <cell r="E38">
            <v>179.683491</v>
          </cell>
          <cell r="G38">
            <v>2849.0509860000002</v>
          </cell>
          <cell r="J38">
            <v>0</v>
          </cell>
          <cell r="L38">
            <v>128.99600000000001</v>
          </cell>
        </row>
        <row r="53">
          <cell r="D53">
            <v>24341.373242000001</v>
          </cell>
          <cell r="E53">
            <v>47130.855945999996</v>
          </cell>
          <cell r="F53">
            <v>27883.662087000001</v>
          </cell>
          <cell r="G53">
            <v>309127.08107194194</v>
          </cell>
          <cell r="J53">
            <v>4841</v>
          </cell>
          <cell r="K53">
            <v>1789.1090199999999</v>
          </cell>
          <cell r="L53">
            <v>26936.8664665744</v>
          </cell>
        </row>
        <row r="67">
          <cell r="D67">
            <v>40365.213867999999</v>
          </cell>
          <cell r="E67">
            <v>46065.120717000005</v>
          </cell>
          <cell r="F67">
            <v>37276.205665000001</v>
          </cell>
          <cell r="G67">
            <v>242708.569594</v>
          </cell>
          <cell r="J67">
            <v>35494.741821999996</v>
          </cell>
          <cell r="K67">
            <v>30446.19556</v>
          </cell>
          <cell r="L67">
            <v>144187.86473847041</v>
          </cell>
        </row>
      </sheetData>
      <sheetData sheetId="11">
        <row r="37">
          <cell r="B37">
            <v>4840.6587440000003</v>
          </cell>
          <cell r="H37">
            <v>16</v>
          </cell>
        </row>
        <row r="38">
          <cell r="B38">
            <v>8</v>
          </cell>
          <cell r="H38">
            <v>0</v>
          </cell>
        </row>
        <row r="52">
          <cell r="B52">
            <v>3716.1817249999999</v>
          </cell>
          <cell r="H52">
            <v>1142.5</v>
          </cell>
        </row>
        <row r="66">
          <cell r="B66">
            <v>4511.342079</v>
          </cell>
          <cell r="H66">
            <v>9838.9259481472</v>
          </cell>
        </row>
      </sheetData>
      <sheetData sheetId="12">
        <row r="14">
          <cell r="D14">
            <v>18627.889149000002</v>
          </cell>
          <cell r="E14">
            <v>6180.0462910000006</v>
          </cell>
          <cell r="F14">
            <v>19864.053055999997</v>
          </cell>
          <cell r="J14">
            <v>478.60329200000001</v>
          </cell>
          <cell r="K14">
            <v>250.182605</v>
          </cell>
        </row>
        <row r="28">
          <cell r="D28">
            <v>714.18034699999998</v>
          </cell>
          <cell r="E28">
            <v>221.31647100000001</v>
          </cell>
          <cell r="F28">
            <v>386.98257100000001</v>
          </cell>
          <cell r="J28">
            <v>0</v>
          </cell>
          <cell r="K28">
            <v>34</v>
          </cell>
        </row>
        <row r="37">
          <cell r="G37">
            <v>155555.96921099999</v>
          </cell>
          <cell r="L37">
            <v>3522.8592880000001</v>
          </cell>
        </row>
        <row r="38">
          <cell r="E38">
            <v>221.31647100000001</v>
          </cell>
          <cell r="G38">
            <v>3025.708228</v>
          </cell>
          <cell r="J38">
            <v>0</v>
          </cell>
          <cell r="L38">
            <v>110</v>
          </cell>
        </row>
        <row r="53">
          <cell r="D53">
            <v>29053.397627999999</v>
          </cell>
          <cell r="E53">
            <v>51560.651965000005</v>
          </cell>
          <cell r="F53">
            <v>29454.679528000001</v>
          </cell>
          <cell r="G53">
            <v>319045.61778500001</v>
          </cell>
          <cell r="J53">
            <v>5848.6284838000001</v>
          </cell>
          <cell r="K53">
            <v>1940.413955</v>
          </cell>
          <cell r="L53">
            <v>30648.892838890501</v>
          </cell>
        </row>
        <row r="67">
          <cell r="D67">
            <v>48574.194020000003</v>
          </cell>
          <cell r="E67">
            <v>49347.772434000006</v>
          </cell>
          <cell r="F67">
            <v>38874.204296000004</v>
          </cell>
          <cell r="G67">
            <v>259198.328354</v>
          </cell>
          <cell r="J67">
            <v>46954.306754000005</v>
          </cell>
          <cell r="K67">
            <v>28658.248686999999</v>
          </cell>
          <cell r="L67">
            <v>153587.68261956648</v>
          </cell>
        </row>
      </sheetData>
      <sheetData sheetId="13">
        <row r="37">
          <cell r="B37">
            <v>34360.455078999999</v>
          </cell>
          <cell r="H37">
            <v>1124</v>
          </cell>
        </row>
        <row r="38">
          <cell r="B38">
            <v>178.05199999999999</v>
          </cell>
          <cell r="H38">
            <v>0</v>
          </cell>
        </row>
        <row r="52">
          <cell r="B52">
            <v>4915.0445899999995</v>
          </cell>
          <cell r="H52">
            <v>640</v>
          </cell>
        </row>
        <row r="66">
          <cell r="B66">
            <v>3949.230043</v>
          </cell>
          <cell r="H66">
            <v>7232.6992029685007</v>
          </cell>
        </row>
      </sheetData>
      <sheetData sheetId="14">
        <row r="14">
          <cell r="D14">
            <v>20406.254201</v>
          </cell>
          <cell r="E14">
            <v>3969.0253439999997</v>
          </cell>
          <cell r="F14">
            <v>25172.123374999999</v>
          </cell>
          <cell r="G14">
            <v>248426.11516799999</v>
          </cell>
          <cell r="J14">
            <v>598.40499999999997</v>
          </cell>
          <cell r="K14">
            <v>184.00683599999999</v>
          </cell>
          <cell r="L14">
            <v>4211.15715</v>
          </cell>
          <cell r="M14">
            <v>252637.27231799997</v>
          </cell>
        </row>
        <row r="28">
          <cell r="D28">
            <v>930.30613599999992</v>
          </cell>
          <cell r="E28">
            <v>220.29826299999999</v>
          </cell>
          <cell r="F28">
            <v>325.26599999999996</v>
          </cell>
          <cell r="J28">
            <v>0</v>
          </cell>
          <cell r="K28">
            <v>25</v>
          </cell>
        </row>
        <row r="37">
          <cell r="G37">
            <v>248426.11516799999</v>
          </cell>
          <cell r="L37">
            <v>4211.15715</v>
          </cell>
        </row>
        <row r="38">
          <cell r="E38">
            <v>220.29826299999999</v>
          </cell>
          <cell r="G38">
            <v>3553.0146629999999</v>
          </cell>
          <cell r="J38">
            <v>0</v>
          </cell>
          <cell r="L38">
            <v>58</v>
          </cell>
        </row>
        <row r="53">
          <cell r="D53">
            <v>25311.912326999998</v>
          </cell>
          <cell r="E53">
            <v>29745.621357</v>
          </cell>
          <cell r="F53">
            <v>29082.583713</v>
          </cell>
          <cell r="G53">
            <v>277163.30901199993</v>
          </cell>
          <cell r="J53">
            <v>6362.02034344</v>
          </cell>
          <cell r="K53">
            <v>4555.3943070000005</v>
          </cell>
          <cell r="L53">
            <v>33449.508938791398</v>
          </cell>
          <cell r="M53">
            <v>310612.81795079139</v>
          </cell>
        </row>
        <row r="67">
          <cell r="D67">
            <v>47585.400771000001</v>
          </cell>
          <cell r="E67">
            <v>60257.199184999998</v>
          </cell>
          <cell r="F67">
            <v>26333.951553999999</v>
          </cell>
          <cell r="G67">
            <v>264509.76321599999</v>
          </cell>
          <cell r="J67">
            <v>39588.491897141997</v>
          </cell>
          <cell r="K67">
            <v>28282.734</v>
          </cell>
          <cell r="L67">
            <v>154143.4885238508</v>
          </cell>
        </row>
      </sheetData>
      <sheetData sheetId="15">
        <row r="37">
          <cell r="B37">
            <v>85526.004106000008</v>
          </cell>
          <cell r="H37">
            <v>1014</v>
          </cell>
        </row>
        <row r="38">
          <cell r="B38">
            <v>528.81600000000003</v>
          </cell>
          <cell r="H38">
            <v>0</v>
          </cell>
        </row>
        <row r="52">
          <cell r="B52">
            <v>5028.6273000000001</v>
          </cell>
          <cell r="H52">
            <v>162</v>
          </cell>
        </row>
        <row r="66">
          <cell r="B66">
            <v>5897.7740140000005</v>
          </cell>
          <cell r="H66">
            <v>12227.3370233972</v>
          </cell>
        </row>
      </sheetData>
      <sheetData sheetId="16">
        <row r="14">
          <cell r="D14">
            <v>22167.552749999999</v>
          </cell>
          <cell r="E14">
            <v>4336.5653949999996</v>
          </cell>
          <cell r="F14">
            <v>26389.187035999999</v>
          </cell>
          <cell r="J14">
            <v>386.65174217999999</v>
          </cell>
          <cell r="K14">
            <v>152.45975200000001</v>
          </cell>
        </row>
        <row r="28">
          <cell r="D28">
            <v>835.55029000000002</v>
          </cell>
          <cell r="E28">
            <v>185.01253600000001</v>
          </cell>
          <cell r="F28">
            <v>329.40485100000001</v>
          </cell>
          <cell r="J28">
            <v>0</v>
          </cell>
          <cell r="K28">
            <v>23</v>
          </cell>
        </row>
        <row r="37">
          <cell r="G37">
            <v>288234.02015500003</v>
          </cell>
          <cell r="L37">
            <v>4019.7194641800002</v>
          </cell>
        </row>
        <row r="38">
          <cell r="E38">
            <v>185.01253600000001</v>
          </cell>
          <cell r="G38">
            <v>3899.8546799999999</v>
          </cell>
          <cell r="J38">
            <v>0</v>
          </cell>
          <cell r="L38">
            <v>56</v>
          </cell>
        </row>
        <row r="53">
          <cell r="D53">
            <v>33326.665729</v>
          </cell>
          <cell r="E53">
            <v>30707.279359999997</v>
          </cell>
          <cell r="F53">
            <v>26473.191360000001</v>
          </cell>
          <cell r="G53">
            <v>275665.76622200001</v>
          </cell>
          <cell r="J53">
            <v>8516.1</v>
          </cell>
          <cell r="K53">
            <v>4971.78413421</v>
          </cell>
          <cell r="L53">
            <v>37120.423306192002</v>
          </cell>
        </row>
        <row r="67">
          <cell r="D67">
            <v>41717.754684999993</v>
          </cell>
          <cell r="E67">
            <v>49301.656511000008</v>
          </cell>
          <cell r="F67">
            <v>23797.343260000001</v>
          </cell>
          <cell r="G67">
            <v>238355.45055800001</v>
          </cell>
          <cell r="J67">
            <v>28570.267611729996</v>
          </cell>
          <cell r="K67">
            <v>30734.765144000001</v>
          </cell>
          <cell r="L67">
            <v>150438.94876165802</v>
          </cell>
        </row>
      </sheetData>
      <sheetData sheetId="17">
        <row r="37">
          <cell r="B37">
            <v>35413.234837999997</v>
          </cell>
          <cell r="C37">
            <v>45774.141620000002</v>
          </cell>
          <cell r="D37">
            <v>2560.9234430000001</v>
          </cell>
          <cell r="E37">
            <v>689.87020000000007</v>
          </cell>
          <cell r="F37">
            <v>3148.4960000000001</v>
          </cell>
          <cell r="H37">
            <v>92</v>
          </cell>
          <cell r="I37">
            <v>0</v>
          </cell>
          <cell r="K37">
            <v>0</v>
          </cell>
        </row>
        <row r="38">
          <cell r="B38">
            <v>339.08292999999998</v>
          </cell>
          <cell r="C38">
            <v>9.5</v>
          </cell>
          <cell r="D38">
            <v>133.661632</v>
          </cell>
          <cell r="E38">
            <v>20</v>
          </cell>
          <cell r="F38">
            <v>43.350999999999999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</row>
        <row r="52">
          <cell r="B52">
            <v>3621.3563480000003</v>
          </cell>
          <cell r="C52">
            <v>4891.8866630000002</v>
          </cell>
          <cell r="D52">
            <v>2839.1309289999999</v>
          </cell>
          <cell r="E52">
            <v>5478.3019999999997</v>
          </cell>
          <cell r="F52">
            <v>2321.0250000000001</v>
          </cell>
          <cell r="H52">
            <v>1180</v>
          </cell>
          <cell r="I52">
            <v>2092.6052552279998</v>
          </cell>
          <cell r="J52">
            <v>980</v>
          </cell>
          <cell r="K52">
            <v>1</v>
          </cell>
        </row>
        <row r="66">
          <cell r="B66">
            <v>2966</v>
          </cell>
          <cell r="C66">
            <v>2104.7710569999999</v>
          </cell>
          <cell r="D66">
            <v>2507.599017</v>
          </cell>
          <cell r="E66">
            <v>14188.955383</v>
          </cell>
          <cell r="F66">
            <v>943</v>
          </cell>
          <cell r="H66">
            <v>5505.066919975</v>
          </cell>
          <cell r="I66">
            <v>2959.7085701999999</v>
          </cell>
          <cell r="J66">
            <v>6671.11702788</v>
          </cell>
          <cell r="K66">
            <v>398</v>
          </cell>
        </row>
      </sheetData>
      <sheetData sheetId="18">
        <row r="14">
          <cell r="D14">
            <v>26219.846382999996</v>
          </cell>
          <cell r="E14">
            <v>3973.6968409999999</v>
          </cell>
          <cell r="F14">
            <v>31159.408371999998</v>
          </cell>
          <cell r="J14">
            <v>43.695305320000003</v>
          </cell>
          <cell r="K14">
            <v>133.347556</v>
          </cell>
        </row>
        <row r="28">
          <cell r="D28">
            <v>822.45165300000008</v>
          </cell>
          <cell r="E28">
            <v>96.658000000000001</v>
          </cell>
          <cell r="F28">
            <v>449.76435400000003</v>
          </cell>
          <cell r="J28">
            <v>19</v>
          </cell>
          <cell r="K28">
            <v>23</v>
          </cell>
        </row>
        <row r="37">
          <cell r="G37">
            <v>308685.35731700005</v>
          </cell>
          <cell r="L37">
            <v>5610.3511313199997</v>
          </cell>
        </row>
        <row r="38">
          <cell r="E38">
            <v>96.658000000000001</v>
          </cell>
          <cell r="G38">
            <v>4683.7471370000003</v>
          </cell>
          <cell r="J38">
            <v>19</v>
          </cell>
          <cell r="L38">
            <v>182</v>
          </cell>
        </row>
        <row r="53">
          <cell r="D53">
            <v>35445.672384999998</v>
          </cell>
          <cell r="E53">
            <v>25914.675801000001</v>
          </cell>
          <cell r="F53">
            <v>29406.807826</v>
          </cell>
          <cell r="G53">
            <v>271798.20896799996</v>
          </cell>
          <cell r="J53">
            <v>7969</v>
          </cell>
          <cell r="K53">
            <v>4280.0146519400005</v>
          </cell>
          <cell r="L53">
            <v>36386.138321365201</v>
          </cell>
        </row>
        <row r="67">
          <cell r="D67">
            <v>42775.936904000002</v>
          </cell>
          <cell r="E67">
            <v>42434.495364000002</v>
          </cell>
          <cell r="F67">
            <v>23817.857816</v>
          </cell>
          <cell r="G67">
            <v>222587.696088</v>
          </cell>
          <cell r="J67">
            <v>24085.842406384199</v>
          </cell>
          <cell r="K67">
            <v>28779.023249000002</v>
          </cell>
          <cell r="L67">
            <v>156051.1315921426</v>
          </cell>
        </row>
      </sheetData>
      <sheetData sheetId="19">
        <row r="37">
          <cell r="B37">
            <v>11752.494439</v>
          </cell>
          <cell r="C37">
            <v>7188.9234180000003</v>
          </cell>
          <cell r="D37">
            <v>4114.2397579999997</v>
          </cell>
          <cell r="E37">
            <v>1335.7909999999999</v>
          </cell>
          <cell r="F37">
            <v>5100.2880000000005</v>
          </cell>
          <cell r="H37">
            <v>914</v>
          </cell>
          <cell r="I37">
            <v>25</v>
          </cell>
          <cell r="J37">
            <v>7</v>
          </cell>
          <cell r="K37">
            <v>0</v>
          </cell>
        </row>
        <row r="38">
          <cell r="B38">
            <v>12.661719999999999</v>
          </cell>
          <cell r="C38">
            <v>71.887</v>
          </cell>
          <cell r="D38">
            <v>174.846778</v>
          </cell>
          <cell r="E38">
            <v>42</v>
          </cell>
          <cell r="F38">
            <v>33.841000000000001</v>
          </cell>
          <cell r="H38">
            <v>3</v>
          </cell>
          <cell r="I38">
            <v>0</v>
          </cell>
          <cell r="J38">
            <v>0</v>
          </cell>
          <cell r="K38">
            <v>0</v>
          </cell>
        </row>
        <row r="52">
          <cell r="B52">
            <v>9592.2039780000014</v>
          </cell>
          <cell r="C52">
            <v>5578.4903080000004</v>
          </cell>
          <cell r="D52">
            <v>4991.894937</v>
          </cell>
          <cell r="E52">
            <v>9711.3700000000008</v>
          </cell>
          <cell r="F52">
            <v>3896.5243380000002</v>
          </cell>
          <cell r="H52">
            <v>3448.5</v>
          </cell>
          <cell r="I52">
            <v>278.95568344699996</v>
          </cell>
          <cell r="J52">
            <v>3008</v>
          </cell>
          <cell r="K52">
            <v>80</v>
          </cell>
        </row>
        <row r="66">
          <cell r="B66">
            <v>7837.9458310000009</v>
          </cell>
          <cell r="C66">
            <v>4967.8455690000001</v>
          </cell>
          <cell r="D66">
            <v>2945.936052</v>
          </cell>
          <cell r="E66">
            <v>12845.220918000001</v>
          </cell>
          <cell r="F66">
            <v>672.46299999999997</v>
          </cell>
          <cell r="H66">
            <v>17960.3332463238</v>
          </cell>
          <cell r="I66">
            <v>1971.3935549800001</v>
          </cell>
          <cell r="J66">
            <v>9043.6995221811994</v>
          </cell>
          <cell r="K66">
            <v>1073</v>
          </cell>
        </row>
      </sheetData>
      <sheetData sheetId="20">
        <row r="14">
          <cell r="D14">
            <v>26484.484576000003</v>
          </cell>
          <cell r="E14">
            <v>12527.016948999999</v>
          </cell>
          <cell r="F14">
            <v>27171</v>
          </cell>
          <cell r="J14">
            <v>1223.7286252599999</v>
          </cell>
          <cell r="K14">
            <v>83.044543000000004</v>
          </cell>
        </row>
        <row r="28">
          <cell r="D28">
            <v>950</v>
          </cell>
          <cell r="E28">
            <v>683</v>
          </cell>
          <cell r="F28">
            <v>609</v>
          </cell>
          <cell r="J28">
            <v>18</v>
          </cell>
          <cell r="K28">
            <v>21</v>
          </cell>
        </row>
        <row r="37">
          <cell r="E37">
            <v>12527.016948999999</v>
          </cell>
          <cell r="G37">
            <v>322234.58346400002</v>
          </cell>
          <cell r="J37">
            <v>1223.7286252599999</v>
          </cell>
          <cell r="L37">
            <v>7062.87689426</v>
          </cell>
        </row>
        <row r="38">
          <cell r="E38">
            <v>683</v>
          </cell>
          <cell r="G38">
            <v>6389.4322430000002</v>
          </cell>
          <cell r="J38">
            <v>18</v>
          </cell>
          <cell r="L38">
            <v>103</v>
          </cell>
        </row>
        <row r="53">
          <cell r="D53">
            <v>36016.686983</v>
          </cell>
          <cell r="E53">
            <v>36163.503729999997</v>
          </cell>
          <cell r="F53">
            <v>21747.288485999998</v>
          </cell>
          <cell r="G53">
            <v>275720.41492000001</v>
          </cell>
          <cell r="J53">
            <v>10428</v>
          </cell>
          <cell r="K53">
            <v>4261</v>
          </cell>
          <cell r="L53">
            <v>39706.746811110897</v>
          </cell>
        </row>
        <row r="67">
          <cell r="D67">
            <v>49446.373743999997</v>
          </cell>
          <cell r="E67">
            <v>47756.292944000008</v>
          </cell>
          <cell r="F67">
            <v>22413.960992</v>
          </cell>
          <cell r="G67">
            <v>237013.35672900002</v>
          </cell>
          <cell r="J67">
            <v>45804.741357184896</v>
          </cell>
          <cell r="K67">
            <v>24947.496065480002</v>
          </cell>
          <cell r="L67">
            <v>185007.34207353101</v>
          </cell>
        </row>
      </sheetData>
      <sheetData sheetId="21">
        <row r="37">
          <cell r="B37">
            <v>5416.9058500000001</v>
          </cell>
          <cell r="C37">
            <v>4067.972385</v>
          </cell>
          <cell r="D37">
            <v>2549.0294130000002</v>
          </cell>
          <cell r="E37">
            <v>2179.3389999999999</v>
          </cell>
          <cell r="F37">
            <v>2478.9369999999999</v>
          </cell>
          <cell r="H37">
            <v>369</v>
          </cell>
          <cell r="I37">
            <v>0</v>
          </cell>
          <cell r="J37">
            <v>778</v>
          </cell>
          <cell r="K37">
            <v>0</v>
          </cell>
        </row>
        <row r="38">
          <cell r="B38">
            <v>33</v>
          </cell>
          <cell r="C38">
            <v>39.527999999999999</v>
          </cell>
          <cell r="D38">
            <v>225.79300000000001</v>
          </cell>
          <cell r="E38">
            <v>333.608</v>
          </cell>
          <cell r="F38">
            <v>42.855000000000004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</row>
        <row r="52">
          <cell r="B52">
            <v>3565.6535609999996</v>
          </cell>
          <cell r="C52">
            <v>5620.1549999999997</v>
          </cell>
          <cell r="D52">
            <v>5207.9822700000004</v>
          </cell>
          <cell r="E52">
            <v>14621.509</v>
          </cell>
          <cell r="F52">
            <v>2197.7579999999998</v>
          </cell>
          <cell r="H52">
            <v>507.3</v>
          </cell>
          <cell r="I52">
            <v>647.40551088510006</v>
          </cell>
          <cell r="J52">
            <v>3697</v>
          </cell>
          <cell r="K52">
            <v>154</v>
          </cell>
        </row>
        <row r="66">
          <cell r="B66">
            <v>3311.1803330000002</v>
          </cell>
          <cell r="C66">
            <v>2827.659013</v>
          </cell>
          <cell r="D66">
            <v>6226.3892329999999</v>
          </cell>
          <cell r="E66">
            <v>18235</v>
          </cell>
          <cell r="F66">
            <v>4001.99</v>
          </cell>
          <cell r="H66">
            <v>8156.5641953478998</v>
          </cell>
          <cell r="I66">
            <v>2101</v>
          </cell>
          <cell r="J66">
            <v>23054.936000000002</v>
          </cell>
          <cell r="K66">
            <v>2348</v>
          </cell>
        </row>
      </sheetData>
      <sheetData sheetId="22">
        <row r="14">
          <cell r="D14">
            <v>21108.945391000001</v>
          </cell>
          <cell r="E14">
            <v>11083.4216</v>
          </cell>
          <cell r="F14">
            <v>29606.690259999999</v>
          </cell>
          <cell r="J14">
            <v>2020.9126375899998</v>
          </cell>
          <cell r="K14">
            <v>59.235999999999997</v>
          </cell>
        </row>
        <row r="28">
          <cell r="D28">
            <v>1068.6478500000001</v>
          </cell>
          <cell r="E28">
            <v>100.767675</v>
          </cell>
          <cell r="F28">
            <v>548.184077</v>
          </cell>
          <cell r="G28">
            <v>4101.7815630000005</v>
          </cell>
          <cell r="J28">
            <v>0</v>
          </cell>
          <cell r="K28">
            <v>20</v>
          </cell>
          <cell r="L28">
            <v>25</v>
          </cell>
          <cell r="M28">
            <v>4126.7815629999996</v>
          </cell>
          <cell r="N28">
            <v>1820.5765799999999</v>
          </cell>
        </row>
        <row r="37">
          <cell r="E37">
            <v>11083.4216</v>
          </cell>
          <cell r="G37">
            <v>298326.83386200003</v>
          </cell>
          <cell r="J37">
            <v>2020.9126375899998</v>
          </cell>
          <cell r="L37">
            <v>6704.4835095899998</v>
          </cell>
        </row>
        <row r="38">
          <cell r="E38">
            <v>100.767675</v>
          </cell>
          <cell r="G38">
            <v>4101.7815630000005</v>
          </cell>
          <cell r="J38">
            <v>0</v>
          </cell>
          <cell r="L38">
            <v>25</v>
          </cell>
        </row>
        <row r="53">
          <cell r="D53">
            <v>37170.249051999999</v>
          </cell>
          <cell r="E53">
            <v>36526.006338000007</v>
          </cell>
          <cell r="F53">
            <v>20162.32762</v>
          </cell>
          <cell r="G53">
            <v>266422.95417400001</v>
          </cell>
          <cell r="J53">
            <v>11531.44585</v>
          </cell>
          <cell r="K53">
            <v>2561</v>
          </cell>
          <cell r="L53">
            <v>39204.654490384593</v>
          </cell>
        </row>
        <row r="67">
          <cell r="D67">
            <v>54549.768846999999</v>
          </cell>
          <cell r="E67">
            <v>63282.572107000007</v>
          </cell>
          <cell r="F67">
            <v>22346.056526</v>
          </cell>
          <cell r="G67">
            <v>264633.26394599996</v>
          </cell>
          <cell r="J67">
            <v>44788.257511390002</v>
          </cell>
          <cell r="K67">
            <v>28645.53359467</v>
          </cell>
          <cell r="L67">
            <v>191205.2476876998</v>
          </cell>
          <cell r="M67">
            <v>455838.51163369982</v>
          </cell>
          <cell r="N67">
            <v>242205.75280118114</v>
          </cell>
        </row>
      </sheetData>
      <sheetData sheetId="23">
        <row r="37">
          <cell r="B37">
            <v>11830.99847</v>
          </cell>
          <cell r="C37">
            <v>2123.0694119999998</v>
          </cell>
          <cell r="D37">
            <v>2685.965745</v>
          </cell>
          <cell r="E37">
            <v>2199.8824330000002</v>
          </cell>
          <cell r="F37">
            <v>1682.1763100000001</v>
          </cell>
          <cell r="H37">
            <v>0</v>
          </cell>
          <cell r="I37">
            <v>0</v>
          </cell>
          <cell r="J37">
            <v>775</v>
          </cell>
          <cell r="K37">
            <v>0</v>
          </cell>
        </row>
        <row r="38">
          <cell r="B38">
            <v>1.76</v>
          </cell>
          <cell r="C38">
            <v>125.940921</v>
          </cell>
          <cell r="D38">
            <v>111.99582599999999</v>
          </cell>
          <cell r="E38">
            <v>10.8</v>
          </cell>
          <cell r="F38">
            <v>42.908999999999999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</row>
        <row r="52">
          <cell r="B52">
            <v>5608.9790000000003</v>
          </cell>
          <cell r="C52">
            <v>6861.4135000000006</v>
          </cell>
          <cell r="D52">
            <v>5171.7600330000005</v>
          </cell>
          <cell r="E52">
            <v>16429.953000000001</v>
          </cell>
          <cell r="F52">
            <v>2458.694</v>
          </cell>
          <cell r="H52">
            <v>579.79999999999995</v>
          </cell>
          <cell r="I52">
            <v>2122.6984387483999</v>
          </cell>
          <cell r="J52">
            <v>5156</v>
          </cell>
          <cell r="K52">
            <v>348</v>
          </cell>
        </row>
        <row r="66">
          <cell r="B66">
            <v>8172.0364079999999</v>
          </cell>
          <cell r="C66">
            <v>6522.886767</v>
          </cell>
          <cell r="D66">
            <v>4950.5614799999994</v>
          </cell>
          <cell r="E66">
            <v>18261</v>
          </cell>
          <cell r="F66">
            <v>5567.8382019999999</v>
          </cell>
          <cell r="H66">
            <v>8485.8209165049993</v>
          </cell>
          <cell r="I66">
            <v>1688</v>
          </cell>
          <cell r="J66">
            <v>17086</v>
          </cell>
          <cell r="K66">
            <v>310</v>
          </cell>
        </row>
      </sheetData>
      <sheetData sheetId="24">
        <row r="14">
          <cell r="D14">
            <v>17648</v>
          </cell>
          <cell r="E14">
            <v>5620</v>
          </cell>
          <cell r="F14">
            <v>34715</v>
          </cell>
          <cell r="J14">
            <v>860</v>
          </cell>
          <cell r="K14">
            <v>86</v>
          </cell>
        </row>
        <row r="29">
          <cell r="D29">
            <v>848</v>
          </cell>
          <cell r="E29">
            <v>227</v>
          </cell>
          <cell r="F29">
            <v>493</v>
          </cell>
          <cell r="J29">
            <v>995</v>
          </cell>
          <cell r="K29">
            <v>19</v>
          </cell>
        </row>
        <row r="38">
          <cell r="E38">
            <v>5620</v>
          </cell>
          <cell r="G38">
            <v>290612</v>
          </cell>
          <cell r="J38">
            <v>860</v>
          </cell>
          <cell r="L38">
            <v>5586</v>
          </cell>
        </row>
        <row r="39">
          <cell r="E39">
            <v>227</v>
          </cell>
          <cell r="G39">
            <v>7024</v>
          </cell>
          <cell r="J39">
            <v>995</v>
          </cell>
          <cell r="L39">
            <v>1254</v>
          </cell>
        </row>
        <row r="54">
          <cell r="D54">
            <v>32493</v>
          </cell>
          <cell r="E54">
            <v>28132.162</v>
          </cell>
          <cell r="F54">
            <v>28083</v>
          </cell>
          <cell r="G54">
            <v>242986.986</v>
          </cell>
          <cell r="J54">
            <v>12429</v>
          </cell>
          <cell r="K54">
            <v>4756</v>
          </cell>
          <cell r="L54">
            <v>41183</v>
          </cell>
        </row>
        <row r="69">
          <cell r="D69">
            <v>50811</v>
          </cell>
          <cell r="E69">
            <v>58138.411999999997</v>
          </cell>
          <cell r="F69">
            <v>32205</v>
          </cell>
          <cell r="G69">
            <v>250712.53</v>
          </cell>
          <cell r="J69">
            <v>36477</v>
          </cell>
          <cell r="K69">
            <v>36204</v>
          </cell>
          <cell r="L69">
            <v>191401</v>
          </cell>
        </row>
      </sheetData>
      <sheetData sheetId="25">
        <row r="14">
          <cell r="B14">
            <v>224176</v>
          </cell>
          <cell r="C14">
            <v>29898</v>
          </cell>
          <cell r="D14">
            <v>17648</v>
          </cell>
          <cell r="E14">
            <v>5622</v>
          </cell>
          <cell r="F14">
            <v>34715</v>
          </cell>
          <cell r="G14">
            <v>312059</v>
          </cell>
          <cell r="H14">
            <v>4546</v>
          </cell>
          <cell r="I14">
            <v>103</v>
          </cell>
          <cell r="J14">
            <v>860</v>
          </cell>
          <cell r="K14">
            <v>86</v>
          </cell>
          <cell r="L14">
            <v>5595</v>
          </cell>
        </row>
        <row r="29">
          <cell r="B29">
            <v>5101</v>
          </cell>
          <cell r="C29">
            <v>599</v>
          </cell>
          <cell r="D29">
            <v>848</v>
          </cell>
          <cell r="E29">
            <v>227</v>
          </cell>
          <cell r="F29">
            <v>493</v>
          </cell>
          <cell r="G29">
            <v>7268</v>
          </cell>
          <cell r="H29">
            <v>0</v>
          </cell>
          <cell r="I29">
            <v>240</v>
          </cell>
          <cell r="J29">
            <v>995</v>
          </cell>
          <cell r="K29">
            <v>19</v>
          </cell>
          <cell r="L29">
            <v>1254</v>
          </cell>
        </row>
        <row r="54">
          <cell r="B54">
            <v>106576</v>
          </cell>
          <cell r="C54">
            <v>64626</v>
          </cell>
          <cell r="D54">
            <v>32493</v>
          </cell>
          <cell r="E54">
            <v>28142</v>
          </cell>
          <cell r="F54">
            <v>28083</v>
          </cell>
          <cell r="G54">
            <v>259920</v>
          </cell>
          <cell r="H54">
            <v>13823</v>
          </cell>
          <cell r="I54">
            <v>10539</v>
          </cell>
          <cell r="J54">
            <v>12429</v>
          </cell>
          <cell r="K54">
            <v>4756</v>
          </cell>
          <cell r="L54">
            <v>41547</v>
          </cell>
        </row>
        <row r="69">
          <cell r="B69">
            <v>72963</v>
          </cell>
          <cell r="C69">
            <v>39212</v>
          </cell>
          <cell r="D69">
            <v>50810</v>
          </cell>
          <cell r="E69">
            <v>58139</v>
          </cell>
          <cell r="F69">
            <v>32205</v>
          </cell>
          <cell r="G69">
            <v>253330</v>
          </cell>
          <cell r="H69">
            <v>83584</v>
          </cell>
          <cell r="I69">
            <v>35306</v>
          </cell>
          <cell r="J69">
            <v>36477</v>
          </cell>
          <cell r="K69">
            <v>36204</v>
          </cell>
          <cell r="L69">
            <v>191571</v>
          </cell>
        </row>
      </sheetData>
      <sheetData sheetId="26">
        <row r="14">
          <cell r="B14">
            <v>3093</v>
          </cell>
          <cell r="H14">
            <v>0</v>
          </cell>
        </row>
        <row r="29">
          <cell r="B29">
            <v>18</v>
          </cell>
          <cell r="H29">
            <v>0</v>
          </cell>
        </row>
        <row r="38">
          <cell r="B38">
            <v>3093</v>
          </cell>
          <cell r="C38">
            <v>1405</v>
          </cell>
          <cell r="D38">
            <v>2310</v>
          </cell>
          <cell r="E38">
            <v>712</v>
          </cell>
          <cell r="F38">
            <v>2701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</row>
        <row r="39">
          <cell r="B39">
            <v>18</v>
          </cell>
          <cell r="C39">
            <v>25</v>
          </cell>
          <cell r="D39">
            <v>99</v>
          </cell>
          <cell r="E39">
            <v>7</v>
          </cell>
          <cell r="F39">
            <v>25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</row>
        <row r="54">
          <cell r="B54">
            <v>3335</v>
          </cell>
          <cell r="C54">
            <v>3673</v>
          </cell>
          <cell r="D54">
            <v>3272</v>
          </cell>
          <cell r="E54">
            <v>5869</v>
          </cell>
          <cell r="F54">
            <v>3302</v>
          </cell>
          <cell r="H54">
            <v>240</v>
          </cell>
          <cell r="I54">
            <v>698.01900000000001</v>
          </cell>
          <cell r="J54">
            <v>2076</v>
          </cell>
          <cell r="K54">
            <v>2285</v>
          </cell>
        </row>
        <row r="69">
          <cell r="B69">
            <v>5149.8050000000003</v>
          </cell>
          <cell r="C69">
            <v>2423.8940000000002</v>
          </cell>
          <cell r="D69">
            <v>4013</v>
          </cell>
          <cell r="E69">
            <v>9591</v>
          </cell>
          <cell r="F69">
            <v>574</v>
          </cell>
          <cell r="H69">
            <v>5588.2049999999999</v>
          </cell>
          <cell r="I69">
            <v>2290.75</v>
          </cell>
          <cell r="J69">
            <v>9986</v>
          </cell>
          <cell r="K69">
            <v>789</v>
          </cell>
        </row>
      </sheetData>
      <sheetData sheetId="27">
        <row r="14">
          <cell r="B14">
            <v>4687</v>
          </cell>
          <cell r="H14">
            <v>0</v>
          </cell>
        </row>
        <row r="29">
          <cell r="B29">
            <v>28</v>
          </cell>
          <cell r="H29">
            <v>0</v>
          </cell>
        </row>
        <row r="54">
          <cell r="B54">
            <v>4212</v>
          </cell>
          <cell r="H54">
            <v>248</v>
          </cell>
        </row>
        <row r="69">
          <cell r="B69">
            <v>5278</v>
          </cell>
          <cell r="H69">
            <v>5596</v>
          </cell>
        </row>
      </sheetData>
      <sheetData sheetId="28"/>
      <sheetData sheetId="29">
        <row r="14">
          <cell r="B14">
            <v>227691</v>
          </cell>
          <cell r="C14">
            <v>28735</v>
          </cell>
          <cell r="D14">
            <v>21593</v>
          </cell>
          <cell r="E14">
            <v>5756</v>
          </cell>
          <cell r="F14">
            <v>42019</v>
          </cell>
          <cell r="G14">
            <v>325794</v>
          </cell>
          <cell r="H14">
            <v>3944</v>
          </cell>
          <cell r="I14">
            <v>79</v>
          </cell>
          <cell r="J14">
            <v>503</v>
          </cell>
          <cell r="K14">
            <v>83</v>
          </cell>
          <cell r="L14">
            <v>4609</v>
          </cell>
        </row>
        <row r="29">
          <cell r="B29">
            <v>2007</v>
          </cell>
          <cell r="C29">
            <v>536</v>
          </cell>
          <cell r="D29">
            <v>792</v>
          </cell>
          <cell r="E29">
            <v>85</v>
          </cell>
          <cell r="F29">
            <v>595</v>
          </cell>
          <cell r="G29">
            <v>4015</v>
          </cell>
          <cell r="H29">
            <v>0</v>
          </cell>
          <cell r="I29">
            <v>2</v>
          </cell>
          <cell r="J29">
            <v>0</v>
          </cell>
          <cell r="K29">
            <v>20</v>
          </cell>
          <cell r="L29">
            <v>22</v>
          </cell>
        </row>
        <row r="54">
          <cell r="B54">
            <v>112041</v>
          </cell>
          <cell r="C54">
            <v>64486</v>
          </cell>
          <cell r="D54">
            <v>31416</v>
          </cell>
          <cell r="E54">
            <v>32765</v>
          </cell>
          <cell r="F54">
            <v>29480</v>
          </cell>
          <cell r="G54">
            <v>270188</v>
          </cell>
          <cell r="H54">
            <v>15659</v>
          </cell>
          <cell r="I54">
            <v>11089</v>
          </cell>
          <cell r="J54">
            <v>11871</v>
          </cell>
          <cell r="K54">
            <v>5498</v>
          </cell>
          <cell r="L54">
            <v>44117</v>
          </cell>
        </row>
        <row r="69">
          <cell r="B69">
            <v>78800</v>
          </cell>
          <cell r="C69">
            <v>54780</v>
          </cell>
          <cell r="D69">
            <v>54293</v>
          </cell>
          <cell r="E69">
            <v>37373</v>
          </cell>
          <cell r="F69">
            <v>29535</v>
          </cell>
          <cell r="G69">
            <v>254781</v>
          </cell>
          <cell r="H69">
            <v>91933</v>
          </cell>
          <cell r="I69">
            <v>35968</v>
          </cell>
          <cell r="J69">
            <v>32196</v>
          </cell>
          <cell r="K69">
            <v>46270</v>
          </cell>
          <cell r="L69">
            <v>206366</v>
          </cell>
        </row>
      </sheetData>
      <sheetData sheetId="30">
        <row r="38">
          <cell r="B38">
            <v>6086</v>
          </cell>
          <cell r="C38">
            <v>1957</v>
          </cell>
          <cell r="D38">
            <v>3934</v>
          </cell>
          <cell r="E38">
            <v>1068</v>
          </cell>
          <cell r="F38">
            <v>8710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</row>
        <row r="39">
          <cell r="B39">
            <v>4</v>
          </cell>
          <cell r="C39">
            <v>36</v>
          </cell>
          <cell r="D39">
            <v>197</v>
          </cell>
          <cell r="E39">
            <v>0</v>
          </cell>
          <cell r="F39">
            <v>71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</row>
        <row r="54">
          <cell r="B54">
            <v>7758.5210000000006</v>
          </cell>
          <cell r="C54">
            <v>5093</v>
          </cell>
          <cell r="D54">
            <v>4566</v>
          </cell>
          <cell r="E54">
            <v>11530.5</v>
          </cell>
          <cell r="F54">
            <v>3784</v>
          </cell>
          <cell r="H54">
            <v>812.7</v>
          </cell>
          <cell r="I54">
            <v>1167.18</v>
          </cell>
          <cell r="J54">
            <v>1645</v>
          </cell>
          <cell r="K54">
            <v>1003</v>
          </cell>
        </row>
        <row r="69">
          <cell r="B69">
            <v>7000.2119999999995</v>
          </cell>
          <cell r="C69">
            <v>11859.663</v>
          </cell>
          <cell r="D69">
            <v>3736</v>
          </cell>
          <cell r="E69">
            <v>7365</v>
          </cell>
          <cell r="F69">
            <v>2975</v>
          </cell>
          <cell r="H69">
            <v>12712.02</v>
          </cell>
          <cell r="I69">
            <v>2943.18</v>
          </cell>
          <cell r="J69">
            <v>9733</v>
          </cell>
          <cell r="K69">
            <v>5911</v>
          </cell>
        </row>
      </sheetData>
      <sheetData sheetId="31">
        <row r="14">
          <cell r="B14">
            <v>9060</v>
          </cell>
          <cell r="H14">
            <v>14</v>
          </cell>
        </row>
        <row r="29">
          <cell r="B29">
            <v>23</v>
          </cell>
          <cell r="H29">
            <v>0</v>
          </cell>
        </row>
        <row r="54">
          <cell r="B54">
            <v>9741</v>
          </cell>
          <cell r="H54">
            <v>842</v>
          </cell>
        </row>
        <row r="69">
          <cell r="B69">
            <v>7206</v>
          </cell>
          <cell r="H69">
            <v>12728</v>
          </cell>
        </row>
      </sheetData>
      <sheetData sheetId="32"/>
      <sheetData sheetId="33">
        <row r="14">
          <cell r="B14">
            <v>229076</v>
          </cell>
          <cell r="C14">
            <v>29788</v>
          </cell>
          <cell r="D14">
            <v>21569</v>
          </cell>
          <cell r="E14">
            <v>9221</v>
          </cell>
          <cell r="F14">
            <v>40221</v>
          </cell>
          <cell r="G14">
            <v>329875</v>
          </cell>
          <cell r="H14">
            <v>3825</v>
          </cell>
          <cell r="I14">
            <v>73</v>
          </cell>
          <cell r="J14">
            <v>2383</v>
          </cell>
          <cell r="K14">
            <v>77</v>
          </cell>
          <cell r="L14">
            <v>6358</v>
          </cell>
        </row>
        <row r="29">
          <cell r="B29">
            <v>1967</v>
          </cell>
          <cell r="C29">
            <v>573</v>
          </cell>
          <cell r="D29">
            <v>743</v>
          </cell>
          <cell r="E29">
            <v>125</v>
          </cell>
          <cell r="F29">
            <v>649</v>
          </cell>
          <cell r="G29">
            <v>4057</v>
          </cell>
          <cell r="H29">
            <v>0</v>
          </cell>
          <cell r="I29">
            <v>2</v>
          </cell>
          <cell r="J29">
            <v>0</v>
          </cell>
          <cell r="K29">
            <v>20</v>
          </cell>
          <cell r="L29">
            <v>22</v>
          </cell>
        </row>
        <row r="54">
          <cell r="B54">
            <v>113057</v>
          </cell>
          <cell r="C54">
            <v>69822</v>
          </cell>
          <cell r="D54">
            <v>36159</v>
          </cell>
          <cell r="E54">
            <v>39623</v>
          </cell>
          <cell r="F54">
            <v>27572</v>
          </cell>
          <cell r="G54">
            <v>286233</v>
          </cell>
          <cell r="H54">
            <v>15426</v>
          </cell>
          <cell r="I54">
            <v>11235</v>
          </cell>
          <cell r="J54">
            <v>12819</v>
          </cell>
          <cell r="K54">
            <v>5458</v>
          </cell>
          <cell r="L54">
            <v>44938</v>
          </cell>
        </row>
        <row r="69">
          <cell r="B69">
            <v>78670</v>
          </cell>
          <cell r="C69">
            <v>59248</v>
          </cell>
          <cell r="D69">
            <v>64012</v>
          </cell>
          <cell r="E69">
            <v>51358</v>
          </cell>
          <cell r="F69">
            <v>27919</v>
          </cell>
          <cell r="G69">
            <v>281208</v>
          </cell>
          <cell r="H69">
            <v>106073</v>
          </cell>
          <cell r="I69">
            <v>32132</v>
          </cell>
          <cell r="J69">
            <v>38081</v>
          </cell>
          <cell r="K69">
            <v>34399</v>
          </cell>
        </row>
      </sheetData>
      <sheetData sheetId="34">
        <row r="38">
          <cell r="B38">
            <v>4752</v>
          </cell>
          <cell r="C38">
            <v>3355</v>
          </cell>
          <cell r="D38">
            <v>3667</v>
          </cell>
          <cell r="E38">
            <v>2539</v>
          </cell>
          <cell r="F38">
            <v>5021</v>
          </cell>
          <cell r="H38">
            <v>0</v>
          </cell>
          <cell r="I38">
            <v>0</v>
          </cell>
          <cell r="J38">
            <v>1892</v>
          </cell>
          <cell r="K38">
            <v>0</v>
          </cell>
        </row>
        <row r="39">
          <cell r="B39">
            <v>39</v>
          </cell>
          <cell r="C39">
            <v>56</v>
          </cell>
          <cell r="D39">
            <v>290</v>
          </cell>
          <cell r="E39">
            <v>20</v>
          </cell>
          <cell r="F39">
            <v>121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</row>
        <row r="54">
          <cell r="B54">
            <v>5982</v>
          </cell>
          <cell r="C54">
            <v>8629</v>
          </cell>
          <cell r="D54">
            <v>6704</v>
          </cell>
          <cell r="E54">
            <v>11669</v>
          </cell>
          <cell r="F54">
            <v>3757</v>
          </cell>
          <cell r="H54">
            <v>1122.5</v>
          </cell>
          <cell r="I54">
            <v>1711.06</v>
          </cell>
          <cell r="J54">
            <v>1497</v>
          </cell>
          <cell r="K54">
            <v>780</v>
          </cell>
        </row>
        <row r="69">
          <cell r="B69">
            <v>4646</v>
          </cell>
          <cell r="C69">
            <v>10363.66</v>
          </cell>
          <cell r="D69">
            <v>7355</v>
          </cell>
          <cell r="E69">
            <v>23555.18</v>
          </cell>
          <cell r="F69">
            <v>1614</v>
          </cell>
          <cell r="H69">
            <v>6695.92</v>
          </cell>
          <cell r="I69">
            <v>5044.8100000000004</v>
          </cell>
          <cell r="J69">
            <v>15058</v>
          </cell>
          <cell r="K69">
            <v>271</v>
          </cell>
        </row>
      </sheetData>
      <sheetData sheetId="35">
        <row r="14">
          <cell r="B14">
            <v>7527</v>
          </cell>
          <cell r="H14">
            <v>0</v>
          </cell>
        </row>
        <row r="29">
          <cell r="B29">
            <v>74</v>
          </cell>
          <cell r="H29">
            <v>0</v>
          </cell>
        </row>
        <row r="54">
          <cell r="B54">
            <v>8472</v>
          </cell>
          <cell r="H54">
            <v>1132</v>
          </cell>
        </row>
        <row r="69">
          <cell r="B69">
            <v>5550</v>
          </cell>
          <cell r="H69">
            <v>6697</v>
          </cell>
        </row>
      </sheetData>
      <sheetData sheetId="36">
        <row r="15">
          <cell r="M15">
            <v>531</v>
          </cell>
        </row>
        <row r="16">
          <cell r="M16">
            <v>130</v>
          </cell>
        </row>
        <row r="17">
          <cell r="M17">
            <v>27</v>
          </cell>
        </row>
        <row r="18">
          <cell r="M18">
            <v>35.049999999999997</v>
          </cell>
        </row>
        <row r="19">
          <cell r="M19">
            <v>640</v>
          </cell>
        </row>
        <row r="20">
          <cell r="M20">
            <v>20</v>
          </cell>
        </row>
        <row r="21">
          <cell r="M21">
            <v>500.28</v>
          </cell>
        </row>
        <row r="22">
          <cell r="M22">
            <v>1681</v>
          </cell>
        </row>
        <row r="23">
          <cell r="M23">
            <v>937</v>
          </cell>
        </row>
        <row r="24">
          <cell r="M24">
            <v>204</v>
          </cell>
        </row>
        <row r="25">
          <cell r="M25">
            <v>291</v>
          </cell>
        </row>
        <row r="26">
          <cell r="M26">
            <v>814</v>
          </cell>
        </row>
        <row r="27">
          <cell r="M27">
            <v>38</v>
          </cell>
        </row>
        <row r="28">
          <cell r="M28">
            <v>1580.28</v>
          </cell>
        </row>
        <row r="55">
          <cell r="M55">
            <v>61309.32</v>
          </cell>
        </row>
        <row r="56">
          <cell r="M56">
            <v>40907.57</v>
          </cell>
        </row>
        <row r="57">
          <cell r="M57">
            <v>7546.82</v>
          </cell>
        </row>
        <row r="58">
          <cell r="M58">
            <v>3608</v>
          </cell>
        </row>
        <row r="59">
          <cell r="M59">
            <v>69777.31</v>
          </cell>
        </row>
        <row r="60">
          <cell r="M60">
            <v>14591</v>
          </cell>
        </row>
        <row r="61">
          <cell r="M61">
            <v>19418.22</v>
          </cell>
        </row>
        <row r="62">
          <cell r="M62">
            <v>39187.4</v>
          </cell>
        </row>
        <row r="63">
          <cell r="M63">
            <v>15998.66</v>
          </cell>
        </row>
        <row r="64">
          <cell r="M64">
            <v>13769</v>
          </cell>
        </row>
        <row r="65">
          <cell r="M65">
            <v>4503</v>
          </cell>
        </row>
        <row r="66">
          <cell r="M66">
            <v>18388.7</v>
          </cell>
        </row>
        <row r="67">
          <cell r="M67">
            <v>2729</v>
          </cell>
        </row>
        <row r="68">
          <cell r="M68">
            <v>182816.03</v>
          </cell>
        </row>
      </sheetData>
      <sheetData sheetId="37">
        <row r="14">
          <cell r="B14">
            <v>194900</v>
          </cell>
          <cell r="C14">
            <v>30824</v>
          </cell>
          <cell r="D14">
            <v>26608</v>
          </cell>
          <cell r="E14">
            <v>8961</v>
          </cell>
          <cell r="F14">
            <v>41807</v>
          </cell>
          <cell r="G14">
            <v>303100</v>
          </cell>
          <cell r="H14">
            <v>3641</v>
          </cell>
          <cell r="I14">
            <v>127</v>
          </cell>
          <cell r="J14">
            <v>2986</v>
          </cell>
          <cell r="K14">
            <v>68</v>
          </cell>
          <cell r="L14">
            <v>6822</v>
          </cell>
        </row>
        <row r="29">
          <cell r="B29">
            <v>2070</v>
          </cell>
          <cell r="C29">
            <v>1390</v>
          </cell>
          <cell r="D29">
            <v>1020</v>
          </cell>
          <cell r="E29">
            <v>2254</v>
          </cell>
          <cell r="F29">
            <v>650</v>
          </cell>
          <cell r="G29">
            <v>7384</v>
          </cell>
          <cell r="H29">
            <v>0</v>
          </cell>
          <cell r="I29">
            <v>24</v>
          </cell>
          <cell r="J29">
            <v>18</v>
          </cell>
          <cell r="K29">
            <v>3</v>
          </cell>
          <cell r="L29">
            <v>45</v>
          </cell>
        </row>
        <row r="54">
          <cell r="B54">
            <v>92283</v>
          </cell>
          <cell r="C54">
            <v>66610</v>
          </cell>
          <cell r="D54">
            <v>38232</v>
          </cell>
          <cell r="E54">
            <v>42180</v>
          </cell>
          <cell r="F54">
            <v>29475</v>
          </cell>
          <cell r="G54">
            <v>268781</v>
          </cell>
          <cell r="H54">
            <v>15084</v>
          </cell>
          <cell r="I54">
            <v>11462</v>
          </cell>
          <cell r="J54">
            <v>15546</v>
          </cell>
          <cell r="K54">
            <v>3655</v>
          </cell>
          <cell r="L54">
            <v>45747</v>
          </cell>
        </row>
        <row r="69">
          <cell r="B69">
            <v>77997</v>
          </cell>
          <cell r="C69">
            <v>60043</v>
          </cell>
          <cell r="D69">
            <v>69844</v>
          </cell>
          <cell r="E69">
            <v>59255</v>
          </cell>
          <cell r="F69">
            <v>26511</v>
          </cell>
          <cell r="G69">
            <v>293650</v>
          </cell>
          <cell r="H69">
            <v>101438</v>
          </cell>
          <cell r="I69">
            <v>30425</v>
          </cell>
          <cell r="J69">
            <v>44208</v>
          </cell>
          <cell r="K69">
            <v>27992</v>
          </cell>
          <cell r="L69">
            <v>204064</v>
          </cell>
        </row>
      </sheetData>
      <sheetData sheetId="38">
        <row r="38">
          <cell r="B38">
            <v>3877</v>
          </cell>
          <cell r="C38">
            <v>3534</v>
          </cell>
          <cell r="D38">
            <v>3262</v>
          </cell>
          <cell r="E38">
            <v>2389</v>
          </cell>
          <cell r="F38">
            <v>4293</v>
          </cell>
          <cell r="H38">
            <v>0</v>
          </cell>
          <cell r="I38">
            <v>0</v>
          </cell>
          <cell r="J38">
            <v>481</v>
          </cell>
          <cell r="K38">
            <v>0</v>
          </cell>
        </row>
        <row r="39">
          <cell r="B39">
            <v>206</v>
          </cell>
          <cell r="C39">
            <v>167</v>
          </cell>
          <cell r="D39">
            <v>208</v>
          </cell>
          <cell r="E39">
            <v>931</v>
          </cell>
          <cell r="F39">
            <v>371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</row>
        <row r="54">
          <cell r="B54">
            <v>9022.5889999999999</v>
          </cell>
          <cell r="C54">
            <v>8712</v>
          </cell>
          <cell r="D54">
            <v>6142</v>
          </cell>
          <cell r="E54">
            <v>17613</v>
          </cell>
          <cell r="F54">
            <v>4208</v>
          </cell>
          <cell r="H54">
            <v>2424.9</v>
          </cell>
          <cell r="I54">
            <v>3096.68</v>
          </cell>
          <cell r="J54">
            <v>4176.96</v>
          </cell>
          <cell r="K54">
            <v>904</v>
          </cell>
        </row>
        <row r="69">
          <cell r="B69">
            <v>14681.69</v>
          </cell>
          <cell r="C69">
            <v>6805.8</v>
          </cell>
          <cell r="D69">
            <v>10683</v>
          </cell>
          <cell r="E69">
            <v>22422.46</v>
          </cell>
          <cell r="F69">
            <v>2571</v>
          </cell>
          <cell r="H69">
            <v>52422.239999999998</v>
          </cell>
          <cell r="I69">
            <v>5488.51</v>
          </cell>
          <cell r="J69">
            <v>12470.27</v>
          </cell>
          <cell r="K69">
            <v>1413</v>
          </cell>
        </row>
      </sheetData>
      <sheetData sheetId="39">
        <row r="14">
          <cell r="B14">
            <v>8115</v>
          </cell>
          <cell r="H14">
            <v>0</v>
          </cell>
        </row>
        <row r="29">
          <cell r="B29">
            <v>228</v>
          </cell>
          <cell r="H29">
            <v>0</v>
          </cell>
        </row>
        <row r="54">
          <cell r="B54">
            <v>11056</v>
          </cell>
          <cell r="H54">
            <v>2448</v>
          </cell>
        </row>
        <row r="69">
          <cell r="B69">
            <v>14938</v>
          </cell>
          <cell r="H69">
            <v>52434</v>
          </cell>
        </row>
      </sheetData>
      <sheetData sheetId="40">
        <row r="17">
          <cell r="J17">
            <v>304477</v>
          </cell>
          <cell r="P17">
            <v>5615</v>
          </cell>
          <cell r="Q17">
            <v>310092</v>
          </cell>
          <cell r="R17">
            <v>113062</v>
          </cell>
        </row>
        <row r="32">
          <cell r="P32">
            <v>21</v>
          </cell>
          <cell r="Q32">
            <v>4730</v>
          </cell>
          <cell r="R32">
            <v>2586</v>
          </cell>
        </row>
        <row r="59">
          <cell r="J59">
            <v>281408</v>
          </cell>
          <cell r="P59">
            <v>51164</v>
          </cell>
          <cell r="Q59">
            <v>332572</v>
          </cell>
          <cell r="R59">
            <v>248437</v>
          </cell>
        </row>
        <row r="74">
          <cell r="P74">
            <v>216369</v>
          </cell>
          <cell r="Q74">
            <v>512945</v>
          </cell>
          <cell r="R74">
            <v>326654</v>
          </cell>
        </row>
      </sheetData>
      <sheetData sheetId="41">
        <row r="19">
          <cell r="E19">
            <v>28767</v>
          </cell>
          <cell r="F19">
            <v>7388</v>
          </cell>
          <cell r="I19">
            <v>328727</v>
          </cell>
          <cell r="L19">
            <v>1760</v>
          </cell>
          <cell r="N19">
            <v>5633</v>
          </cell>
        </row>
        <row r="34">
          <cell r="B34">
            <v>2098</v>
          </cell>
          <cell r="C34">
            <v>629</v>
          </cell>
          <cell r="E34">
            <v>942</v>
          </cell>
          <cell r="F34">
            <v>313</v>
          </cell>
          <cell r="I34">
            <v>4968</v>
          </cell>
          <cell r="J34">
            <v>0</v>
          </cell>
          <cell r="K34">
            <v>0</v>
          </cell>
          <cell r="L34">
            <v>0</v>
          </cell>
          <cell r="N34">
            <v>21</v>
          </cell>
          <cell r="O34">
            <v>4989</v>
          </cell>
        </row>
        <row r="61">
          <cell r="E61">
            <v>39128</v>
          </cell>
          <cell r="F61">
            <v>37555</v>
          </cell>
          <cell r="I61">
            <v>298641</v>
          </cell>
          <cell r="L61">
            <v>17156</v>
          </cell>
          <cell r="N61">
            <v>51561</v>
          </cell>
        </row>
        <row r="76">
          <cell r="B76">
            <v>82362</v>
          </cell>
          <cell r="C76">
            <v>57762</v>
          </cell>
          <cell r="E76">
            <v>77013</v>
          </cell>
          <cell r="F76">
            <v>51725</v>
          </cell>
          <cell r="I76">
            <v>298936</v>
          </cell>
          <cell r="J76">
            <v>118680</v>
          </cell>
          <cell r="K76">
            <v>32145</v>
          </cell>
          <cell r="L76">
            <v>34109</v>
          </cell>
          <cell r="N76">
            <v>216524</v>
          </cell>
        </row>
      </sheetData>
      <sheetData sheetId="42"/>
      <sheetData sheetId="43"/>
      <sheetData sheetId="44">
        <row r="17">
          <cell r="B17">
            <v>8820</v>
          </cell>
          <cell r="J17">
            <v>7</v>
          </cell>
        </row>
        <row r="32">
          <cell r="B32">
            <v>153</v>
          </cell>
          <cell r="J32">
            <v>0</v>
          </cell>
        </row>
        <row r="59">
          <cell r="B59">
            <v>9822</v>
          </cell>
          <cell r="J59">
            <v>1385</v>
          </cell>
        </row>
        <row r="74">
          <cell r="B74">
            <v>3599</v>
          </cell>
          <cell r="J74">
            <v>12181</v>
          </cell>
        </row>
      </sheetData>
      <sheetData sheetId="45">
        <row r="17">
          <cell r="E17">
            <v>30599</v>
          </cell>
          <cell r="F17">
            <v>6350</v>
          </cell>
          <cell r="I17">
            <v>344461</v>
          </cell>
          <cell r="L17">
            <v>457</v>
          </cell>
          <cell r="N17">
            <v>4289</v>
          </cell>
        </row>
        <row r="32">
          <cell r="E32">
            <v>1071</v>
          </cell>
          <cell r="F32">
            <v>247</v>
          </cell>
          <cell r="I32">
            <v>4723</v>
          </cell>
          <cell r="L32">
            <v>0</v>
          </cell>
          <cell r="N32">
            <v>3</v>
          </cell>
          <cell r="O32">
            <v>4726</v>
          </cell>
        </row>
        <row r="59">
          <cell r="E59">
            <v>41532</v>
          </cell>
          <cell r="F59">
            <v>38782</v>
          </cell>
          <cell r="I59">
            <v>323078</v>
          </cell>
          <cell r="L59">
            <v>16454</v>
          </cell>
          <cell r="N59">
            <v>50785</v>
          </cell>
        </row>
        <row r="74">
          <cell r="E74">
            <v>74065</v>
          </cell>
          <cell r="F74">
            <v>40424</v>
          </cell>
          <cell r="I74">
            <v>281980</v>
          </cell>
          <cell r="L74">
            <v>36513</v>
          </cell>
          <cell r="N74">
            <v>224104</v>
          </cell>
          <cell r="O74">
            <v>506084</v>
          </cell>
        </row>
      </sheetData>
      <sheetData sheetId="46"/>
      <sheetData sheetId="47">
        <row r="17">
          <cell r="B17">
            <v>8656</v>
          </cell>
          <cell r="J17">
            <v>0</v>
          </cell>
        </row>
        <row r="32">
          <cell r="B32">
            <v>86</v>
          </cell>
          <cell r="J32">
            <v>0</v>
          </cell>
        </row>
        <row r="59">
          <cell r="B59">
            <v>13698</v>
          </cell>
          <cell r="J59">
            <v>745</v>
          </cell>
        </row>
        <row r="74">
          <cell r="B74">
            <v>3115</v>
          </cell>
          <cell r="J74">
            <v>15729</v>
          </cell>
        </row>
      </sheetData>
      <sheetData sheetId="48">
        <row r="17">
          <cell r="B17">
            <v>241187</v>
          </cell>
          <cell r="C17">
            <v>38070</v>
          </cell>
          <cell r="E17">
            <v>32234</v>
          </cell>
          <cell r="F17">
            <v>10315</v>
          </cell>
          <cell r="I17">
            <v>351315</v>
          </cell>
          <cell r="J17">
            <v>3413</v>
          </cell>
          <cell r="K17">
            <v>546</v>
          </cell>
          <cell r="L17">
            <v>2278</v>
          </cell>
          <cell r="N17">
            <v>6263</v>
          </cell>
        </row>
        <row r="32">
          <cell r="B32">
            <v>2529</v>
          </cell>
          <cell r="C32">
            <v>565</v>
          </cell>
          <cell r="E32">
            <v>1010</v>
          </cell>
          <cell r="F32">
            <v>384</v>
          </cell>
          <cell r="I32">
            <v>5033</v>
          </cell>
          <cell r="J32">
            <v>0</v>
          </cell>
          <cell r="K32">
            <v>0</v>
          </cell>
          <cell r="L32">
            <v>0</v>
          </cell>
          <cell r="N32">
            <v>3</v>
          </cell>
        </row>
        <row r="59">
          <cell r="B59">
            <v>148246</v>
          </cell>
          <cell r="C59">
            <v>84427</v>
          </cell>
          <cell r="E59">
            <v>43775</v>
          </cell>
          <cell r="F59">
            <v>40689</v>
          </cell>
          <cell r="I59">
            <v>341171</v>
          </cell>
          <cell r="J59">
            <v>22309</v>
          </cell>
          <cell r="K59">
            <v>11110</v>
          </cell>
          <cell r="L59">
            <v>10284</v>
          </cell>
          <cell r="N59">
            <v>47768</v>
          </cell>
        </row>
        <row r="74">
          <cell r="B74">
            <v>75361</v>
          </cell>
          <cell r="C74">
            <v>66805</v>
          </cell>
          <cell r="E74">
            <v>70210</v>
          </cell>
          <cell r="F74">
            <v>45276</v>
          </cell>
          <cell r="I74">
            <v>291837</v>
          </cell>
          <cell r="J74">
            <v>133527</v>
          </cell>
          <cell r="K74">
            <v>33344</v>
          </cell>
          <cell r="L74">
            <v>49225</v>
          </cell>
          <cell r="N74">
            <v>249593</v>
          </cell>
        </row>
      </sheetData>
      <sheetData sheetId="49"/>
      <sheetData sheetId="50">
        <row r="17">
          <cell r="B17">
            <v>9869</v>
          </cell>
          <cell r="J17">
            <v>168</v>
          </cell>
        </row>
        <row r="32">
          <cell r="B32">
            <v>53</v>
          </cell>
          <cell r="J32">
            <v>0</v>
          </cell>
        </row>
        <row r="59">
          <cell r="B59">
            <v>16104</v>
          </cell>
          <cell r="J59">
            <v>565</v>
          </cell>
        </row>
        <row r="74">
          <cell r="B74">
            <v>4289</v>
          </cell>
          <cell r="J74">
            <v>7109</v>
          </cell>
        </row>
      </sheetData>
      <sheetData sheetId="51">
        <row r="17">
          <cell r="B17">
            <v>235040</v>
          </cell>
          <cell r="C17">
            <v>33426</v>
          </cell>
          <cell r="E17">
            <v>44642</v>
          </cell>
          <cell r="F17">
            <v>8148</v>
          </cell>
          <cell r="H17">
            <v>21102</v>
          </cell>
          <cell r="I17">
            <v>342357</v>
          </cell>
          <cell r="J17">
            <v>3411</v>
          </cell>
          <cell r="K17">
            <v>52</v>
          </cell>
          <cell r="L17">
            <v>2985</v>
          </cell>
          <cell r="M17">
            <v>52</v>
          </cell>
          <cell r="N17">
            <v>6500</v>
          </cell>
          <cell r="O17">
            <v>348857</v>
          </cell>
        </row>
        <row r="32">
          <cell r="B32">
            <v>2641</v>
          </cell>
          <cell r="C32">
            <v>760</v>
          </cell>
          <cell r="E32">
            <v>1385</v>
          </cell>
          <cell r="F32">
            <v>535</v>
          </cell>
          <cell r="H32">
            <v>308</v>
          </cell>
          <cell r="I32">
            <v>5629</v>
          </cell>
          <cell r="J32">
            <v>0</v>
          </cell>
          <cell r="K32">
            <v>0</v>
          </cell>
          <cell r="L32">
            <v>0</v>
          </cell>
          <cell r="M32">
            <v>3</v>
          </cell>
          <cell r="N32">
            <v>3</v>
          </cell>
          <cell r="O32">
            <v>5632</v>
          </cell>
        </row>
        <row r="44">
          <cell r="I44">
            <v>347986</v>
          </cell>
        </row>
        <row r="59">
          <cell r="B59">
            <v>146146</v>
          </cell>
          <cell r="C59">
            <v>81039</v>
          </cell>
          <cell r="E59">
            <v>42747</v>
          </cell>
          <cell r="F59">
            <v>37194</v>
          </cell>
          <cell r="H59">
            <v>22394</v>
          </cell>
          <cell r="I59">
            <v>329519</v>
          </cell>
          <cell r="J59">
            <v>21824</v>
          </cell>
          <cell r="K59">
            <v>11910</v>
          </cell>
          <cell r="L59">
            <v>12131</v>
          </cell>
          <cell r="M59">
            <v>4616</v>
          </cell>
          <cell r="N59">
            <v>50481</v>
          </cell>
          <cell r="O59">
            <v>380000</v>
          </cell>
        </row>
        <row r="74">
          <cell r="B74">
            <v>80732</v>
          </cell>
          <cell r="C74">
            <v>70897</v>
          </cell>
          <cell r="E74">
            <v>71515</v>
          </cell>
          <cell r="F74">
            <v>58960</v>
          </cell>
          <cell r="H74">
            <v>40315</v>
          </cell>
          <cell r="I74">
            <v>322420</v>
          </cell>
          <cell r="J74">
            <v>104385</v>
          </cell>
          <cell r="K74">
            <v>39161</v>
          </cell>
          <cell r="L74">
            <v>38658</v>
          </cell>
          <cell r="M74">
            <v>34632</v>
          </cell>
          <cell r="N74">
            <v>216836</v>
          </cell>
          <cell r="O74">
            <v>539256</v>
          </cell>
        </row>
        <row r="75">
          <cell r="I75">
            <v>651939</v>
          </cell>
        </row>
      </sheetData>
      <sheetData sheetId="52">
        <row r="17">
          <cell r="B17">
            <v>8915</v>
          </cell>
          <cell r="J17">
            <v>197</v>
          </cell>
          <cell r="O17">
            <v>27141</v>
          </cell>
        </row>
        <row r="32">
          <cell r="B32">
            <v>136</v>
          </cell>
          <cell r="J32">
            <v>0</v>
          </cell>
          <cell r="O32">
            <v>749</v>
          </cell>
        </row>
        <row r="33">
          <cell r="O33">
            <v>27890</v>
          </cell>
        </row>
        <row r="44">
          <cell r="O44">
            <v>27890</v>
          </cell>
        </row>
        <row r="59">
          <cell r="B59">
            <v>10603</v>
          </cell>
          <cell r="J59">
            <v>874</v>
          </cell>
          <cell r="O59">
            <v>49767</v>
          </cell>
        </row>
        <row r="74">
          <cell r="B74">
            <v>14762</v>
          </cell>
          <cell r="J74">
            <v>14348</v>
          </cell>
          <cell r="O74">
            <v>91925</v>
          </cell>
        </row>
        <row r="75">
          <cell r="O75">
            <v>141692</v>
          </cell>
        </row>
      </sheetData>
      <sheetData sheetId="53">
        <row r="18">
          <cell r="B18">
            <v>232505</v>
          </cell>
          <cell r="C18">
            <v>31459</v>
          </cell>
          <cell r="E18">
            <v>43140</v>
          </cell>
          <cell r="F18">
            <v>6132</v>
          </cell>
          <cell r="H18">
            <v>21898</v>
          </cell>
          <cell r="I18">
            <v>335133</v>
          </cell>
          <cell r="J18">
            <v>3871</v>
          </cell>
          <cell r="K18">
            <v>59</v>
          </cell>
          <cell r="L18">
            <v>1698</v>
          </cell>
          <cell r="M18">
            <v>53</v>
          </cell>
          <cell r="N18">
            <v>5681</v>
          </cell>
        </row>
        <row r="34">
          <cell r="B34">
            <v>2698</v>
          </cell>
          <cell r="C34">
            <v>783</v>
          </cell>
          <cell r="E34">
            <v>1199</v>
          </cell>
          <cell r="F34">
            <v>586</v>
          </cell>
          <cell r="H34">
            <v>314</v>
          </cell>
          <cell r="I34">
            <v>5581</v>
          </cell>
          <cell r="J34">
            <v>0</v>
          </cell>
          <cell r="K34">
            <v>0</v>
          </cell>
          <cell r="L34">
            <v>0</v>
          </cell>
          <cell r="M34">
            <v>3</v>
          </cell>
          <cell r="N34">
            <v>3</v>
          </cell>
        </row>
        <row r="35">
          <cell r="I35">
            <v>340713</v>
          </cell>
          <cell r="N35">
            <v>5684</v>
          </cell>
        </row>
        <row r="65">
          <cell r="B65">
            <v>151537</v>
          </cell>
          <cell r="C65">
            <v>83943</v>
          </cell>
          <cell r="E65">
            <v>43289</v>
          </cell>
          <cell r="F65">
            <v>35814</v>
          </cell>
          <cell r="H65">
            <v>22519</v>
          </cell>
          <cell r="I65">
            <v>337102</v>
          </cell>
          <cell r="J65">
            <v>24532</v>
          </cell>
          <cell r="K65">
            <v>13539</v>
          </cell>
          <cell r="L65">
            <v>12795</v>
          </cell>
          <cell r="M65">
            <v>4350</v>
          </cell>
          <cell r="N65">
            <v>55217</v>
          </cell>
        </row>
        <row r="81">
          <cell r="B81">
            <v>75865</v>
          </cell>
          <cell r="C81">
            <v>69757</v>
          </cell>
          <cell r="E81">
            <v>75270</v>
          </cell>
          <cell r="F81">
            <v>52654</v>
          </cell>
          <cell r="H81">
            <v>42524</v>
          </cell>
          <cell r="I81">
            <v>316069</v>
          </cell>
          <cell r="J81">
            <v>112711</v>
          </cell>
          <cell r="K81">
            <v>46329</v>
          </cell>
          <cell r="L81">
            <v>44340</v>
          </cell>
          <cell r="M81">
            <v>34112</v>
          </cell>
          <cell r="N81">
            <v>237492</v>
          </cell>
        </row>
        <row r="82">
          <cell r="I82">
            <v>653170</v>
          </cell>
          <cell r="N82">
            <v>292709</v>
          </cell>
        </row>
        <row r="97">
          <cell r="H97">
            <v>42524</v>
          </cell>
          <cell r="M97">
            <v>34112</v>
          </cell>
        </row>
      </sheetData>
      <sheetData sheetId="54">
        <row r="18">
          <cell r="B18">
            <v>6086</v>
          </cell>
          <cell r="J18">
            <v>0</v>
          </cell>
          <cell r="O18">
            <v>17815</v>
          </cell>
        </row>
        <row r="34">
          <cell r="B34">
            <v>153</v>
          </cell>
          <cell r="J34">
            <v>0</v>
          </cell>
          <cell r="O34">
            <v>733</v>
          </cell>
        </row>
        <row r="65">
          <cell r="B65">
            <v>9078</v>
          </cell>
          <cell r="J65">
            <v>819</v>
          </cell>
          <cell r="O65">
            <v>35971</v>
          </cell>
        </row>
        <row r="81">
          <cell r="B81">
            <v>4331</v>
          </cell>
          <cell r="J81">
            <v>4644</v>
          </cell>
          <cell r="O81">
            <v>57523</v>
          </cell>
        </row>
        <row r="105">
          <cell r="O105">
            <v>112042</v>
          </cell>
        </row>
      </sheetData>
      <sheetData sheetId="55">
        <row r="18">
          <cell r="B18">
            <v>244822</v>
          </cell>
          <cell r="C18">
            <v>22290</v>
          </cell>
          <cell r="E18">
            <v>48560</v>
          </cell>
          <cell r="F18">
            <v>18435</v>
          </cell>
          <cell r="H18">
            <v>23834</v>
          </cell>
          <cell r="I18">
            <v>357942</v>
          </cell>
          <cell r="J18">
            <v>3784</v>
          </cell>
          <cell r="K18">
            <v>59</v>
          </cell>
          <cell r="L18">
            <v>1113</v>
          </cell>
          <cell r="M18">
            <v>50</v>
          </cell>
          <cell r="N18">
            <v>5006</v>
          </cell>
          <cell r="O18">
            <v>362948</v>
          </cell>
        </row>
        <row r="34">
          <cell r="B34">
            <v>2713</v>
          </cell>
          <cell r="C34">
            <v>606</v>
          </cell>
          <cell r="E34">
            <v>1184</v>
          </cell>
          <cell r="F34">
            <v>540</v>
          </cell>
          <cell r="H34">
            <v>360</v>
          </cell>
          <cell r="I34">
            <v>5403</v>
          </cell>
          <cell r="J34">
            <v>0</v>
          </cell>
          <cell r="K34">
            <v>0</v>
          </cell>
          <cell r="L34">
            <v>0</v>
          </cell>
          <cell r="M34">
            <v>2</v>
          </cell>
          <cell r="N34">
            <v>2</v>
          </cell>
          <cell r="O34">
            <v>5405</v>
          </cell>
        </row>
        <row r="35">
          <cell r="I35">
            <v>363345</v>
          </cell>
          <cell r="N35">
            <v>5008</v>
          </cell>
        </row>
        <row r="65">
          <cell r="B65">
            <v>164358</v>
          </cell>
          <cell r="C65">
            <v>87370</v>
          </cell>
          <cell r="E65">
            <v>44148</v>
          </cell>
          <cell r="F65">
            <v>41278</v>
          </cell>
          <cell r="H65">
            <v>23232</v>
          </cell>
          <cell r="I65">
            <v>360387</v>
          </cell>
          <cell r="J65">
            <v>24468</v>
          </cell>
          <cell r="K65">
            <v>11945</v>
          </cell>
          <cell r="L65">
            <v>11856</v>
          </cell>
          <cell r="M65">
            <v>4025</v>
          </cell>
          <cell r="N65">
            <v>52295</v>
          </cell>
          <cell r="O65">
            <v>412681</v>
          </cell>
        </row>
        <row r="81">
          <cell r="B81">
            <v>75343</v>
          </cell>
          <cell r="C81">
            <v>69968</v>
          </cell>
          <cell r="E81">
            <v>66827</v>
          </cell>
          <cell r="F81">
            <v>43152</v>
          </cell>
          <cell r="H81">
            <v>39742</v>
          </cell>
          <cell r="I81">
            <v>295033</v>
          </cell>
          <cell r="J81">
            <v>110961</v>
          </cell>
          <cell r="K81">
            <v>46789</v>
          </cell>
          <cell r="L81">
            <v>36440</v>
          </cell>
          <cell r="M81">
            <v>35791</v>
          </cell>
          <cell r="N81">
            <v>229981</v>
          </cell>
          <cell r="O81">
            <v>525014</v>
          </cell>
        </row>
        <row r="82">
          <cell r="I82">
            <v>655420</v>
          </cell>
          <cell r="N82">
            <v>282276</v>
          </cell>
        </row>
      </sheetData>
      <sheetData sheetId="56">
        <row r="18">
          <cell r="B18">
            <v>11412</v>
          </cell>
          <cell r="J18">
            <v>0</v>
          </cell>
          <cell r="O18">
            <v>25441</v>
          </cell>
        </row>
        <row r="34">
          <cell r="B34">
            <v>39</v>
          </cell>
          <cell r="J34">
            <v>0</v>
          </cell>
          <cell r="O34">
            <v>854</v>
          </cell>
        </row>
        <row r="65">
          <cell r="B65">
            <v>19472</v>
          </cell>
          <cell r="J65">
            <v>1597</v>
          </cell>
          <cell r="O65">
            <v>53485</v>
          </cell>
        </row>
        <row r="81">
          <cell r="B81">
            <v>2952</v>
          </cell>
          <cell r="J81">
            <v>5181</v>
          </cell>
          <cell r="O81">
            <v>48291</v>
          </cell>
        </row>
        <row r="105">
          <cell r="O105">
            <v>128070</v>
          </cell>
        </row>
      </sheetData>
      <sheetData sheetId="57">
        <row r="18">
          <cell r="B18">
            <v>248045</v>
          </cell>
          <cell r="C18">
            <v>22767</v>
          </cell>
          <cell r="E18">
            <v>44883</v>
          </cell>
          <cell r="F18">
            <v>29007</v>
          </cell>
          <cell r="H18">
            <v>24107</v>
          </cell>
          <cell r="I18">
            <v>368809</v>
          </cell>
          <cell r="J18">
            <v>3611</v>
          </cell>
          <cell r="K18">
            <v>766</v>
          </cell>
          <cell r="L18">
            <v>21</v>
          </cell>
          <cell r="M18">
            <v>56</v>
          </cell>
          <cell r="N18">
            <v>4454</v>
          </cell>
        </row>
        <row r="34">
          <cell r="B34">
            <v>2952</v>
          </cell>
          <cell r="C34">
            <v>641</v>
          </cell>
          <cell r="E34">
            <v>1312</v>
          </cell>
          <cell r="F34">
            <v>686</v>
          </cell>
          <cell r="H34">
            <v>437</v>
          </cell>
          <cell r="I34">
            <v>6029</v>
          </cell>
          <cell r="J34">
            <v>0</v>
          </cell>
          <cell r="K34">
            <v>0</v>
          </cell>
          <cell r="L34">
            <v>0</v>
          </cell>
          <cell r="M34">
            <v>2</v>
          </cell>
          <cell r="N34">
            <v>2</v>
          </cell>
        </row>
        <row r="65">
          <cell r="B65">
            <v>170595</v>
          </cell>
          <cell r="C65">
            <v>104523</v>
          </cell>
          <cell r="E65">
            <v>42787</v>
          </cell>
          <cell r="F65">
            <v>46165</v>
          </cell>
          <cell r="H65">
            <v>24102</v>
          </cell>
          <cell r="I65">
            <v>388171</v>
          </cell>
          <cell r="J65">
            <v>21525</v>
          </cell>
          <cell r="K65">
            <v>10910</v>
          </cell>
          <cell r="L65">
            <v>12554</v>
          </cell>
          <cell r="M65">
            <v>6092</v>
          </cell>
          <cell r="N65">
            <v>51081</v>
          </cell>
        </row>
        <row r="81">
          <cell r="B81">
            <v>76781</v>
          </cell>
          <cell r="C81">
            <v>114568</v>
          </cell>
          <cell r="E81">
            <v>59072</v>
          </cell>
          <cell r="F81">
            <v>50465</v>
          </cell>
          <cell r="H81">
            <v>37917</v>
          </cell>
          <cell r="I81">
            <v>338804</v>
          </cell>
          <cell r="J81">
            <v>119141</v>
          </cell>
          <cell r="K81">
            <v>44775</v>
          </cell>
          <cell r="L81">
            <v>47505</v>
          </cell>
          <cell r="M81">
            <v>36988</v>
          </cell>
          <cell r="N81">
            <v>248409</v>
          </cell>
        </row>
      </sheetData>
      <sheetData sheetId="58">
        <row r="18">
          <cell r="B18">
            <v>10857</v>
          </cell>
          <cell r="J18">
            <v>0</v>
          </cell>
          <cell r="O18">
            <v>29467</v>
          </cell>
        </row>
        <row r="34">
          <cell r="B34">
            <v>86</v>
          </cell>
          <cell r="J34">
            <v>0</v>
          </cell>
          <cell r="O34">
            <v>1403</v>
          </cell>
        </row>
        <row r="65">
          <cell r="B65">
            <v>20623</v>
          </cell>
          <cell r="J65">
            <v>1614</v>
          </cell>
          <cell r="O65">
            <v>77595</v>
          </cell>
        </row>
        <row r="81">
          <cell r="B81">
            <v>4829</v>
          </cell>
          <cell r="J81">
            <v>3252</v>
          </cell>
          <cell r="O81">
            <v>116482</v>
          </cell>
        </row>
        <row r="105">
          <cell r="O105">
            <v>224947</v>
          </cell>
        </row>
      </sheetData>
      <sheetData sheetId="59">
        <row r="18">
          <cell r="B18">
            <v>248501</v>
          </cell>
          <cell r="C18">
            <v>21618</v>
          </cell>
          <cell r="E18">
            <v>44152</v>
          </cell>
          <cell r="F18">
            <v>24977</v>
          </cell>
          <cell r="H18">
            <v>21853</v>
          </cell>
          <cell r="I18">
            <v>361101</v>
          </cell>
          <cell r="J18">
            <v>3463</v>
          </cell>
          <cell r="K18">
            <v>1142</v>
          </cell>
          <cell r="L18">
            <v>8</v>
          </cell>
          <cell r="M18">
            <v>43</v>
          </cell>
          <cell r="N18">
            <v>4656</v>
          </cell>
        </row>
        <row r="34">
          <cell r="B34">
            <v>3011</v>
          </cell>
          <cell r="C34">
            <v>593</v>
          </cell>
          <cell r="E34">
            <v>1522</v>
          </cell>
          <cell r="F34">
            <v>624</v>
          </cell>
          <cell r="H34">
            <v>396</v>
          </cell>
          <cell r="I34">
            <v>6145</v>
          </cell>
          <cell r="J34">
            <v>0</v>
          </cell>
          <cell r="K34">
            <v>0</v>
          </cell>
          <cell r="L34">
            <v>0</v>
          </cell>
          <cell r="M34">
            <v>2</v>
          </cell>
          <cell r="N34">
            <v>2</v>
          </cell>
        </row>
        <row r="65">
          <cell r="B65">
            <v>187397</v>
          </cell>
          <cell r="C65">
            <v>109409</v>
          </cell>
          <cell r="E65">
            <v>38928</v>
          </cell>
          <cell r="F65">
            <v>41310</v>
          </cell>
          <cell r="H65">
            <v>23486</v>
          </cell>
          <cell r="I65">
            <v>400531</v>
          </cell>
          <cell r="J65">
            <v>19990</v>
          </cell>
          <cell r="K65">
            <v>14063</v>
          </cell>
          <cell r="L65">
            <v>9048</v>
          </cell>
          <cell r="M65">
            <v>5534</v>
          </cell>
          <cell r="N65">
            <v>48635</v>
          </cell>
        </row>
        <row r="81">
          <cell r="B81">
            <v>83602</v>
          </cell>
          <cell r="C81">
            <v>125700</v>
          </cell>
          <cell r="E81">
            <v>55097</v>
          </cell>
          <cell r="F81">
            <v>53813</v>
          </cell>
          <cell r="H81">
            <v>43850</v>
          </cell>
          <cell r="I81">
            <v>362061</v>
          </cell>
          <cell r="J81">
            <v>116580</v>
          </cell>
          <cell r="K81">
            <v>48835</v>
          </cell>
          <cell r="L81">
            <v>42516</v>
          </cell>
          <cell r="M81">
            <v>40329</v>
          </cell>
          <cell r="N81">
            <v>248259</v>
          </cell>
        </row>
      </sheetData>
      <sheetData sheetId="60">
        <row r="18">
          <cell r="B18">
            <v>12604</v>
          </cell>
          <cell r="J18">
            <v>0</v>
          </cell>
          <cell r="O18">
            <v>29209</v>
          </cell>
        </row>
        <row r="34">
          <cell r="B34">
            <v>119</v>
          </cell>
          <cell r="J34">
            <v>0</v>
          </cell>
          <cell r="O34">
            <v>1250</v>
          </cell>
        </row>
        <row r="65">
          <cell r="B65">
            <v>31004</v>
          </cell>
          <cell r="J65">
            <v>294</v>
          </cell>
          <cell r="O65">
            <v>81851</v>
          </cell>
        </row>
        <row r="81">
          <cell r="B81">
            <v>6115</v>
          </cell>
          <cell r="J81">
            <v>3109</v>
          </cell>
          <cell r="O81">
            <v>92254</v>
          </cell>
        </row>
      </sheetData>
      <sheetData sheetId="61">
        <row r="10">
          <cell r="O10">
            <v>223912</v>
          </cell>
        </row>
        <row r="11">
          <cell r="O11">
            <v>58865</v>
          </cell>
        </row>
        <row r="12">
          <cell r="O12">
            <v>16961</v>
          </cell>
        </row>
        <row r="13">
          <cell r="O13">
            <v>10744</v>
          </cell>
        </row>
        <row r="14">
          <cell r="O14">
            <v>20054</v>
          </cell>
        </row>
        <row r="15">
          <cell r="O15">
            <v>43186</v>
          </cell>
        </row>
        <row r="16">
          <cell r="O16">
            <v>17648</v>
          </cell>
        </row>
        <row r="17">
          <cell r="O17">
            <v>36325</v>
          </cell>
        </row>
        <row r="18">
          <cell r="C18">
            <v>23420</v>
          </cell>
          <cell r="E18">
            <v>43044</v>
          </cell>
          <cell r="F18">
            <v>21096</v>
          </cell>
          <cell r="I18">
            <v>358004</v>
          </cell>
          <cell r="K18">
            <v>1141</v>
          </cell>
          <cell r="L18">
            <v>0</v>
          </cell>
          <cell r="N18">
            <v>4284</v>
          </cell>
        </row>
        <row r="34">
          <cell r="B34">
            <v>3062</v>
          </cell>
          <cell r="C34">
            <v>548</v>
          </cell>
          <cell r="E34">
            <v>1454</v>
          </cell>
          <cell r="F34">
            <v>594</v>
          </cell>
          <cell r="H34">
            <v>403</v>
          </cell>
          <cell r="I34">
            <v>6062</v>
          </cell>
          <cell r="J34">
            <v>0</v>
          </cell>
          <cell r="K34">
            <v>0</v>
          </cell>
          <cell r="L34">
            <v>0</v>
          </cell>
          <cell r="M34">
            <v>2</v>
          </cell>
          <cell r="N34">
            <v>2</v>
          </cell>
        </row>
        <row r="57">
          <cell r="O57">
            <v>167178</v>
          </cell>
        </row>
        <row r="58">
          <cell r="O58">
            <v>188491</v>
          </cell>
        </row>
        <row r="59">
          <cell r="O59">
            <v>52902</v>
          </cell>
        </row>
        <row r="60">
          <cell r="O60">
            <v>65334</v>
          </cell>
        </row>
        <row r="61">
          <cell r="O61">
            <v>64504</v>
          </cell>
        </row>
        <row r="62">
          <cell r="O62">
            <v>35663</v>
          </cell>
        </row>
        <row r="63">
          <cell r="O63">
            <v>24654</v>
          </cell>
        </row>
        <row r="64">
          <cell r="O64">
            <v>60848</v>
          </cell>
        </row>
        <row r="65">
          <cell r="C65">
            <v>110102</v>
          </cell>
          <cell r="E65">
            <v>39924</v>
          </cell>
          <cell r="F65">
            <v>38752</v>
          </cell>
          <cell r="I65">
            <v>411099</v>
          </cell>
          <cell r="K65">
            <v>9860</v>
          </cell>
          <cell r="L65">
            <v>8832</v>
          </cell>
          <cell r="N65">
            <v>41082</v>
          </cell>
        </row>
        <row r="81">
          <cell r="B81">
            <v>76961</v>
          </cell>
          <cell r="C81">
            <v>134141</v>
          </cell>
          <cell r="E81">
            <v>48053</v>
          </cell>
          <cell r="F81">
            <v>62096</v>
          </cell>
          <cell r="H81">
            <v>53434</v>
          </cell>
          <cell r="I81">
            <v>374684</v>
          </cell>
          <cell r="J81">
            <v>113544</v>
          </cell>
          <cell r="K81">
            <v>43669</v>
          </cell>
          <cell r="L81">
            <v>40440</v>
          </cell>
          <cell r="M81">
            <v>42327</v>
          </cell>
          <cell r="N81">
            <v>239981</v>
          </cell>
        </row>
      </sheetData>
      <sheetData sheetId="62">
        <row r="18">
          <cell r="O18">
            <v>19851</v>
          </cell>
        </row>
        <row r="34">
          <cell r="O34">
            <v>1022</v>
          </cell>
        </row>
        <row r="65">
          <cell r="O65">
            <v>47743</v>
          </cell>
        </row>
        <row r="81">
          <cell r="O81">
            <v>69960</v>
          </cell>
        </row>
      </sheetData>
      <sheetData sheetId="63">
        <row r="1">
          <cell r="AL1" t="str">
            <v xml:space="preserve">2016. I. </v>
          </cell>
        </row>
      </sheetData>
      <sheetData sheetId="64">
        <row r="56">
          <cell r="E56" t="str">
            <v>Beruházási hitelek</v>
          </cell>
        </row>
      </sheetData>
      <sheetData sheetId="65">
        <row r="90">
          <cell r="D90" t="str">
            <v>Agrárhitelek összesen</v>
          </cell>
        </row>
      </sheetData>
      <sheetData sheetId="66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15. I. - Állományi"/>
      <sheetName val="2015. I. - Új"/>
      <sheetName val="2015. II. - Állományi"/>
      <sheetName val="2015. II. - Új"/>
      <sheetName val="2015. III. - Állományi"/>
      <sheetName val="2015. III. - Új"/>
      <sheetName val="2015. IV. - Állományi"/>
      <sheetName val="2015. IV. - Új"/>
      <sheetName val="2016. I. - Állományi"/>
      <sheetName val="2016. I. - Új"/>
      <sheetName val="2016. II. - Állományi"/>
      <sheetName val="2016. II. - Új"/>
      <sheetName val="2016. III. - Állományi"/>
      <sheetName val="2016. III. - Új"/>
      <sheetName val="2016. IV.- Állományi"/>
      <sheetName val="2016. IV. - Új"/>
      <sheetName val="2017. I. - Állományi"/>
      <sheetName val="2017. I. - Új"/>
      <sheetName val="2017. II. - Állományi"/>
      <sheetName val="2017. II. - Új"/>
      <sheetName val="2017. III. - Állományi"/>
      <sheetName val="2017. III. - Új"/>
      <sheetName val="2017. IV. - Állományi"/>
      <sheetName val="2017. IV. - Új"/>
      <sheetName val="2018. I. - Állományi"/>
      <sheetName val="2018. I. - Új"/>
      <sheetName val="2018. II. - Állományi"/>
      <sheetName val="2018. II. - Új"/>
      <sheetName val="2018. III. - Állományi"/>
      <sheetName val="2018. III. - Új"/>
      <sheetName val="2018. IV. - Állományi"/>
      <sheetName val="2018. IV. - Új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>
        <row r="14">
          <cell r="E14">
            <v>3411.0472249999993</v>
          </cell>
          <cell r="J14">
            <v>1416</v>
          </cell>
        </row>
        <row r="53">
          <cell r="E53">
            <v>48482.345024999995</v>
          </cell>
          <cell r="J53">
            <v>5379</v>
          </cell>
        </row>
      </sheetData>
      <sheetData sheetId="9"/>
      <sheetData sheetId="10">
        <row r="37">
          <cell r="E37">
            <v>3174.8538999999996</v>
          </cell>
          <cell r="J37">
            <v>474.82201099999997</v>
          </cell>
        </row>
        <row r="53">
          <cell r="E53">
            <v>47130.855945999996</v>
          </cell>
          <cell r="J53">
            <v>4841</v>
          </cell>
        </row>
      </sheetData>
      <sheetData sheetId="11"/>
      <sheetData sheetId="12">
        <row r="37">
          <cell r="E37">
            <v>6180.0462910000006</v>
          </cell>
          <cell r="J37">
            <v>478.60329200000001</v>
          </cell>
        </row>
        <row r="53">
          <cell r="E53">
            <v>51560.651965000005</v>
          </cell>
          <cell r="J53">
            <v>5848.6284838000001</v>
          </cell>
        </row>
      </sheetData>
      <sheetData sheetId="13"/>
      <sheetData sheetId="14">
        <row r="37">
          <cell r="E37">
            <v>3969.0253439999997</v>
          </cell>
          <cell r="J37">
            <v>598.40499999999997</v>
          </cell>
        </row>
        <row r="53">
          <cell r="E53">
            <v>29745.621357</v>
          </cell>
          <cell r="J53">
            <v>6362.02034344</v>
          </cell>
        </row>
      </sheetData>
      <sheetData sheetId="15"/>
      <sheetData sheetId="16">
        <row r="37">
          <cell r="E37">
            <v>4336.5653949999996</v>
          </cell>
          <cell r="J37">
            <v>386.65174217999999</v>
          </cell>
        </row>
        <row r="53">
          <cell r="E53">
            <v>30707.279359999997</v>
          </cell>
          <cell r="J53">
            <v>8516.1</v>
          </cell>
        </row>
      </sheetData>
      <sheetData sheetId="17"/>
      <sheetData sheetId="18">
        <row r="37">
          <cell r="E37">
            <v>3973.6968409999999</v>
          </cell>
          <cell r="J37">
            <v>43.695305320000003</v>
          </cell>
        </row>
        <row r="53">
          <cell r="E53">
            <v>25914.675801000001</v>
          </cell>
          <cell r="J53">
            <v>7969</v>
          </cell>
        </row>
      </sheetData>
      <sheetData sheetId="19"/>
      <sheetData sheetId="20"/>
      <sheetData sheetId="21"/>
      <sheetData sheetId="22">
        <row r="37">
          <cell r="M37">
            <v>305031.31737159006</v>
          </cell>
        </row>
      </sheetData>
      <sheetData sheetId="23"/>
      <sheetData sheetId="24"/>
      <sheetData sheetId="25"/>
      <sheetData sheetId="26"/>
      <sheetData sheetId="27"/>
      <sheetData sheetId="28"/>
      <sheetData sheetId="29"/>
      <sheetData sheetId="30">
        <row r="38">
          <cell r="M38">
            <v>309406.14</v>
          </cell>
        </row>
      </sheetData>
      <sheetData sheetId="31"/>
    </sheetDataSet>
  </externalBook>
</externalLink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Override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4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5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6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7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8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6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7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8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9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0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1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4.xml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2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3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4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6.bin"/></Relationships>
</file>

<file path=xl/worksheets/_rels/sheet2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17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2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19.bin"/><Relationship Id="rId4" Type="http://schemas.openxmlformats.org/officeDocument/2006/relationships/comments" Target="../comments1.xml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1.xml"/></Relationships>
</file>

<file path=xl/worksheets/_rels/sheet2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20.bin"/><Relationship Id="rId4" Type="http://schemas.openxmlformats.org/officeDocument/2006/relationships/comments" Target="../comments2.xml"/></Relationships>
</file>

<file path=xl/worksheets/_rels/sheet3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3.xml"/><Relationship Id="rId1" Type="http://schemas.openxmlformats.org/officeDocument/2006/relationships/printerSettings" Target="../printerSettings/printerSettings21.bin"/></Relationships>
</file>

<file path=xl/worksheets/_rels/sheet3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4.xml"/><Relationship Id="rId1" Type="http://schemas.openxmlformats.org/officeDocument/2006/relationships/printerSettings" Target="../printerSettings/printerSettings2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/>
  </sheetPr>
  <dimension ref="A1:AH200"/>
  <sheetViews>
    <sheetView topLeftCell="I151" zoomScale="85" zoomScaleNormal="85" workbookViewId="0">
      <selection activeCell="L85" sqref="L85"/>
    </sheetView>
  </sheetViews>
  <sheetFormatPr defaultRowHeight="15" x14ac:dyDescent="0.25"/>
  <cols>
    <col min="1" max="1" width="68.5703125" style="905" bestFit="1" customWidth="1"/>
    <col min="2" max="20" width="22.85546875" style="905" customWidth="1"/>
    <col min="21" max="22" width="9.140625" style="905"/>
    <col min="23" max="23" width="12.28515625" style="905" bestFit="1" customWidth="1"/>
    <col min="24" max="24" width="10.7109375" style="905" bestFit="1" customWidth="1"/>
    <col min="25" max="16384" width="9.140625" style="905"/>
  </cols>
  <sheetData>
    <row r="1" spans="1:34" ht="41.25" customHeight="1" x14ac:dyDescent="0.25">
      <c r="A1" s="1070" t="s">
        <v>905</v>
      </c>
      <c r="B1" s="1057"/>
      <c r="C1" s="1057"/>
      <c r="D1" s="1057"/>
      <c r="E1" s="1057"/>
      <c r="F1" s="1057"/>
      <c r="G1" s="1057"/>
      <c r="H1" s="1057"/>
      <c r="I1" s="1057"/>
      <c r="J1" s="1057"/>
      <c r="K1" s="1057"/>
      <c r="L1" s="1057"/>
      <c r="M1" s="1057"/>
      <c r="N1" s="1057"/>
      <c r="O1" s="1057"/>
      <c r="P1" s="1057"/>
      <c r="Q1" s="1057"/>
      <c r="R1" s="1057"/>
      <c r="S1" s="1057"/>
      <c r="T1" s="1058"/>
    </row>
    <row r="2" spans="1:34" x14ac:dyDescent="0.25">
      <c r="A2" s="1059" t="s">
        <v>493</v>
      </c>
      <c r="B2" s="1061" t="s">
        <v>906</v>
      </c>
      <c r="C2" s="1062"/>
      <c r="D2" s="1062"/>
      <c r="E2" s="1062"/>
      <c r="F2" s="1062"/>
      <c r="G2" s="1062"/>
      <c r="H2" s="1062"/>
      <c r="I2" s="1063"/>
      <c r="J2" s="1064" t="s">
        <v>907</v>
      </c>
      <c r="K2" s="1065"/>
      <c r="L2" s="1065"/>
      <c r="M2" s="1065"/>
      <c r="N2" s="1066"/>
      <c r="O2" s="1067" t="s">
        <v>908</v>
      </c>
      <c r="P2" s="1068"/>
      <c r="Q2" s="1068"/>
      <c r="R2" s="1068"/>
      <c r="S2" s="1068"/>
      <c r="T2" s="1069"/>
    </row>
    <row r="3" spans="1:34" s="909" customFormat="1" ht="60.75" thickBot="1" x14ac:dyDescent="0.3">
      <c r="A3" s="1060"/>
      <c r="B3" s="906" t="s">
        <v>909</v>
      </c>
      <c r="C3" s="906" t="s">
        <v>882</v>
      </c>
      <c r="D3" s="906" t="s">
        <v>910</v>
      </c>
      <c r="E3" s="906" t="s">
        <v>883</v>
      </c>
      <c r="F3" s="906" t="s">
        <v>911</v>
      </c>
      <c r="G3" s="906" t="s">
        <v>912</v>
      </c>
      <c r="H3" s="906" t="s">
        <v>913</v>
      </c>
      <c r="I3" s="906" t="s">
        <v>914</v>
      </c>
      <c r="J3" s="907" t="s">
        <v>640</v>
      </c>
      <c r="K3" s="907" t="s">
        <v>882</v>
      </c>
      <c r="L3" s="907" t="s">
        <v>885</v>
      </c>
      <c r="M3" s="907" t="s">
        <v>913</v>
      </c>
      <c r="N3" s="907" t="s">
        <v>915</v>
      </c>
      <c r="O3" s="908" t="s">
        <v>139</v>
      </c>
      <c r="P3" s="908" t="s">
        <v>916</v>
      </c>
      <c r="Q3" s="908" t="s">
        <v>917</v>
      </c>
      <c r="R3" s="908" t="s">
        <v>918</v>
      </c>
      <c r="S3" s="908" t="s">
        <v>919</v>
      </c>
      <c r="T3" s="908" t="s">
        <v>920</v>
      </c>
    </row>
    <row r="4" spans="1:34" x14ac:dyDescent="0.25">
      <c r="A4" s="910" t="s">
        <v>110</v>
      </c>
      <c r="B4" s="911">
        <v>148566.483718</v>
      </c>
      <c r="C4" s="912">
        <v>4905.833243</v>
      </c>
      <c r="D4" s="913">
        <v>67.876812000000001</v>
      </c>
      <c r="E4" s="912">
        <v>39447.316275999998</v>
      </c>
      <c r="F4" s="912">
        <v>3609.320737</v>
      </c>
      <c r="G4" s="913">
        <v>21.867286</v>
      </c>
      <c r="H4" s="912">
        <v>14555.662319999999</v>
      </c>
      <c r="I4" s="914">
        <v>211084.61629400001</v>
      </c>
      <c r="J4" s="912">
        <v>3427.371056</v>
      </c>
      <c r="K4" s="912"/>
      <c r="L4" s="912" t="s">
        <v>921</v>
      </c>
      <c r="M4" s="912">
        <v>198.876195</v>
      </c>
      <c r="N4" s="915">
        <v>3627.2218590000002</v>
      </c>
      <c r="O4" s="915">
        <v>214711.83815299999</v>
      </c>
      <c r="P4" s="912">
        <v>47222.320784000003</v>
      </c>
      <c r="Q4" s="912">
        <v>180277.31047200001</v>
      </c>
      <c r="R4" s="912">
        <v>7073.3339999999998</v>
      </c>
      <c r="S4" s="912">
        <v>7267.3381760000002</v>
      </c>
      <c r="T4" s="915">
        <v>194617.982648</v>
      </c>
      <c r="W4" s="916"/>
      <c r="X4" s="916"/>
      <c r="Y4" s="916"/>
      <c r="Z4" s="916"/>
      <c r="AA4" s="916"/>
      <c r="AB4" s="916"/>
      <c r="AC4" s="916"/>
      <c r="AD4" s="916"/>
      <c r="AE4" s="916"/>
      <c r="AF4" s="916"/>
      <c r="AG4" s="916"/>
      <c r="AH4" s="916"/>
    </row>
    <row r="5" spans="1:34" x14ac:dyDescent="0.25">
      <c r="A5" s="917" t="s">
        <v>922</v>
      </c>
      <c r="B5" s="918">
        <v>145260.50799300001</v>
      </c>
      <c r="C5" s="919">
        <v>4797.882466</v>
      </c>
      <c r="D5" s="920">
        <v>67.876812000000001</v>
      </c>
      <c r="E5" s="919">
        <v>38112.497367999997</v>
      </c>
      <c r="F5" s="919">
        <v>3215.8756349999999</v>
      </c>
      <c r="G5" s="920">
        <v>21.867286</v>
      </c>
      <c r="H5" s="919">
        <v>13810.091205000001</v>
      </c>
      <c r="I5" s="921">
        <v>205196.85466700001</v>
      </c>
      <c r="J5" s="919">
        <v>3405.0165750000001</v>
      </c>
      <c r="K5" s="919"/>
      <c r="L5" s="919" t="s">
        <v>921</v>
      </c>
      <c r="M5" s="919">
        <v>198.876195</v>
      </c>
      <c r="N5" s="921">
        <v>3604.8673779999999</v>
      </c>
      <c r="O5" s="922">
        <v>208801.722045</v>
      </c>
      <c r="P5" s="919">
        <v>45486.166325999999</v>
      </c>
      <c r="Q5" s="919">
        <v>175919.67616599999</v>
      </c>
      <c r="R5" s="919">
        <v>6085.2808779999996</v>
      </c>
      <c r="S5" s="919">
        <v>7135.6899579999999</v>
      </c>
      <c r="T5" s="922">
        <v>189140.64700200001</v>
      </c>
      <c r="V5" s="916"/>
      <c r="W5" s="916"/>
      <c r="X5" s="916"/>
      <c r="Y5" s="916"/>
      <c r="Z5" s="916"/>
      <c r="AA5" s="916"/>
      <c r="AB5" s="916"/>
      <c r="AC5" s="916"/>
      <c r="AD5" s="916"/>
      <c r="AE5" s="916"/>
      <c r="AF5" s="916"/>
      <c r="AG5" s="916"/>
      <c r="AH5" s="916"/>
    </row>
    <row r="6" spans="1:34" x14ac:dyDescent="0.25">
      <c r="A6" s="917" t="s">
        <v>923</v>
      </c>
      <c r="B6" s="918">
        <v>27.700763999999999</v>
      </c>
      <c r="C6" s="919"/>
      <c r="D6" s="920"/>
      <c r="E6" s="919" t="s">
        <v>921</v>
      </c>
      <c r="F6" s="919"/>
      <c r="G6" s="920"/>
      <c r="H6" s="919"/>
      <c r="I6" s="921">
        <v>35.135660000000001</v>
      </c>
      <c r="J6" s="919"/>
      <c r="K6" s="919"/>
      <c r="L6" s="919"/>
      <c r="M6" s="919"/>
      <c r="N6" s="921"/>
      <c r="O6" s="922">
        <v>35.135660000000001</v>
      </c>
      <c r="P6" s="919" t="s">
        <v>921</v>
      </c>
      <c r="Q6" s="919">
        <v>35.135660000000001</v>
      </c>
      <c r="R6" s="919"/>
      <c r="S6" s="919"/>
      <c r="T6" s="922">
        <v>35.135660000000001</v>
      </c>
      <c r="V6" s="916"/>
      <c r="W6" s="916"/>
      <c r="X6" s="916"/>
      <c r="Y6" s="916"/>
      <c r="Z6" s="916"/>
      <c r="AA6" s="916"/>
      <c r="AB6" s="916"/>
      <c r="AC6" s="916"/>
      <c r="AD6" s="916"/>
      <c r="AE6" s="916"/>
      <c r="AF6" s="916"/>
      <c r="AG6" s="916"/>
      <c r="AH6" s="916"/>
    </row>
    <row r="7" spans="1:34" x14ac:dyDescent="0.25">
      <c r="A7" s="917" t="s">
        <v>924</v>
      </c>
      <c r="B7" s="918" t="s">
        <v>921</v>
      </c>
      <c r="C7" s="919"/>
      <c r="D7" s="920"/>
      <c r="E7" s="919"/>
      <c r="F7" s="919"/>
      <c r="G7" s="920"/>
      <c r="H7" s="919"/>
      <c r="I7" s="921" t="s">
        <v>921</v>
      </c>
      <c r="J7" s="919"/>
      <c r="K7" s="919"/>
      <c r="L7" s="919"/>
      <c r="M7" s="919"/>
      <c r="N7" s="921"/>
      <c r="O7" s="922" t="s">
        <v>921</v>
      </c>
      <c r="P7" s="919"/>
      <c r="Q7" s="919" t="s">
        <v>921</v>
      </c>
      <c r="R7" s="919"/>
      <c r="S7" s="919"/>
      <c r="T7" s="922" t="s">
        <v>921</v>
      </c>
      <c r="V7" s="916"/>
      <c r="W7" s="916"/>
      <c r="X7" s="916"/>
      <c r="Y7" s="916"/>
      <c r="Z7" s="916"/>
      <c r="AA7" s="916"/>
      <c r="AB7" s="916"/>
      <c r="AC7" s="916"/>
      <c r="AD7" s="916"/>
      <c r="AE7" s="916"/>
      <c r="AF7" s="916"/>
      <c r="AG7" s="916"/>
      <c r="AH7" s="916"/>
    </row>
    <row r="8" spans="1:34" x14ac:dyDescent="0.25">
      <c r="A8" s="917" t="s">
        <v>925</v>
      </c>
      <c r="B8" s="918">
        <v>289.71529700000002</v>
      </c>
      <c r="C8" s="919">
        <v>4.2443390000000001</v>
      </c>
      <c r="D8" s="920"/>
      <c r="E8" s="919">
        <v>247.32467</v>
      </c>
      <c r="F8" s="919">
        <v>9.0710339999999992</v>
      </c>
      <c r="G8" s="920"/>
      <c r="H8" s="919">
        <v>306.34810900000002</v>
      </c>
      <c r="I8" s="921">
        <v>856.70344899999998</v>
      </c>
      <c r="J8" s="919"/>
      <c r="K8" s="919"/>
      <c r="L8" s="919"/>
      <c r="M8" s="919"/>
      <c r="N8" s="921"/>
      <c r="O8" s="922">
        <v>856.70344899999998</v>
      </c>
      <c r="P8" s="919">
        <v>236.06758400000001</v>
      </c>
      <c r="Q8" s="919">
        <v>811.62190799999996</v>
      </c>
      <c r="R8" s="919"/>
      <c r="S8" s="919"/>
      <c r="T8" s="922">
        <v>811.62190799999996</v>
      </c>
      <c r="V8" s="916"/>
      <c r="W8" s="916"/>
      <c r="X8" s="916"/>
      <c r="Y8" s="916"/>
      <c r="Z8" s="916"/>
      <c r="AA8" s="916"/>
      <c r="AB8" s="916"/>
      <c r="AC8" s="916"/>
      <c r="AD8" s="916"/>
      <c r="AE8" s="916"/>
      <c r="AF8" s="916"/>
      <c r="AG8" s="916"/>
      <c r="AH8" s="916"/>
    </row>
    <row r="9" spans="1:34" x14ac:dyDescent="0.25">
      <c r="A9" s="917" t="s">
        <v>926</v>
      </c>
      <c r="B9" s="918">
        <v>27.558191999999998</v>
      </c>
      <c r="C9" s="919"/>
      <c r="D9" s="920"/>
      <c r="E9" s="919" t="s">
        <v>921</v>
      </c>
      <c r="F9" s="919"/>
      <c r="G9" s="920"/>
      <c r="H9" s="919"/>
      <c r="I9" s="921">
        <v>29.697749000000002</v>
      </c>
      <c r="J9" s="919"/>
      <c r="K9" s="919"/>
      <c r="L9" s="919"/>
      <c r="M9" s="919"/>
      <c r="N9" s="921"/>
      <c r="O9" s="922">
        <v>29.697749000000002</v>
      </c>
      <c r="P9" s="919"/>
      <c r="Q9" s="919">
        <v>29.697749000000002</v>
      </c>
      <c r="R9" s="919"/>
      <c r="S9" s="919"/>
      <c r="T9" s="922">
        <v>29.697749000000002</v>
      </c>
      <c r="V9" s="916"/>
      <c r="W9" s="916"/>
      <c r="X9" s="916"/>
      <c r="Y9" s="916"/>
      <c r="Z9" s="916"/>
      <c r="AA9" s="916"/>
      <c r="AB9" s="916"/>
      <c r="AC9" s="916"/>
      <c r="AD9" s="916"/>
      <c r="AE9" s="916"/>
      <c r="AF9" s="916"/>
      <c r="AG9" s="916"/>
      <c r="AH9" s="916"/>
    </row>
    <row r="10" spans="1:34" x14ac:dyDescent="0.25">
      <c r="A10" s="917" t="s">
        <v>927</v>
      </c>
      <c r="B10" s="918">
        <v>2926.7609750000001</v>
      </c>
      <c r="C10" s="919">
        <v>103.70643800000001</v>
      </c>
      <c r="D10" s="920"/>
      <c r="E10" s="919">
        <v>1077.919785</v>
      </c>
      <c r="F10" s="919">
        <v>384.37406800000002</v>
      </c>
      <c r="G10" s="920"/>
      <c r="H10" s="919">
        <v>439.223006</v>
      </c>
      <c r="I10" s="921">
        <v>4931.9842719999997</v>
      </c>
      <c r="J10" s="919" t="s">
        <v>921</v>
      </c>
      <c r="K10" s="919"/>
      <c r="L10" s="919"/>
      <c r="M10" s="919"/>
      <c r="N10" s="921" t="s">
        <v>921</v>
      </c>
      <c r="O10" s="922">
        <v>4954.338753</v>
      </c>
      <c r="P10" s="919">
        <v>1496.4451300000001</v>
      </c>
      <c r="Q10" s="919">
        <v>3446.9384920000002</v>
      </c>
      <c r="R10" s="919">
        <v>988.05312200000003</v>
      </c>
      <c r="S10" s="919">
        <v>131.64821800000001</v>
      </c>
      <c r="T10" s="922">
        <v>4566.6398319999998</v>
      </c>
      <c r="V10" s="916"/>
      <c r="W10" s="916"/>
      <c r="X10" s="916"/>
      <c r="Y10" s="916"/>
      <c r="Z10" s="916"/>
      <c r="AA10" s="916"/>
      <c r="AB10" s="916"/>
      <c r="AC10" s="916"/>
      <c r="AD10" s="916"/>
      <c r="AE10" s="916"/>
      <c r="AF10" s="916"/>
      <c r="AG10" s="916"/>
      <c r="AH10" s="916"/>
    </row>
    <row r="11" spans="1:34" s="916" customFormat="1" x14ac:dyDescent="0.25">
      <c r="A11" s="910" t="s">
        <v>928</v>
      </c>
      <c r="B11" s="923">
        <v>34879.667121999999</v>
      </c>
      <c r="C11" s="924">
        <v>2709.8484119999998</v>
      </c>
      <c r="D11" s="925" t="s">
        <v>921</v>
      </c>
      <c r="E11" s="924">
        <v>14734.085171000001</v>
      </c>
      <c r="F11" s="924">
        <v>1144.132151</v>
      </c>
      <c r="G11" s="925" t="s">
        <v>921</v>
      </c>
      <c r="H11" s="924">
        <v>4395.8111440000002</v>
      </c>
      <c r="I11" s="914">
        <v>57863.544000000002</v>
      </c>
      <c r="J11" s="924">
        <v>721.33775700000001</v>
      </c>
      <c r="K11" s="924"/>
      <c r="L11" s="924"/>
      <c r="M11" s="924"/>
      <c r="N11" s="914">
        <v>721.33775700000001</v>
      </c>
      <c r="O11" s="914">
        <v>58584.881757000003</v>
      </c>
      <c r="P11" s="924">
        <v>16650.799306000001</v>
      </c>
      <c r="Q11" s="924">
        <v>43754.748254999999</v>
      </c>
      <c r="R11" s="924">
        <v>7655.1903689999999</v>
      </c>
      <c r="S11" s="924">
        <v>2593.123783</v>
      </c>
      <c r="T11" s="914">
        <v>54003.062406999998</v>
      </c>
    </row>
    <row r="12" spans="1:34" x14ac:dyDescent="0.25">
      <c r="A12" s="917" t="s">
        <v>929</v>
      </c>
      <c r="B12" s="918">
        <v>4179.5913959999998</v>
      </c>
      <c r="C12" s="919">
        <v>694.21804599999996</v>
      </c>
      <c r="D12" s="920"/>
      <c r="E12" s="919">
        <v>1940.5068470000001</v>
      </c>
      <c r="F12" s="919">
        <v>310.796381</v>
      </c>
      <c r="G12" s="920"/>
      <c r="H12" s="919">
        <v>816.51909899999998</v>
      </c>
      <c r="I12" s="921">
        <v>7941.6317689999996</v>
      </c>
      <c r="J12" s="919"/>
      <c r="K12" s="919"/>
      <c r="L12" s="919"/>
      <c r="M12" s="919"/>
      <c r="N12" s="921"/>
      <c r="O12" s="922">
        <v>7941.6317689999996</v>
      </c>
      <c r="P12" s="919">
        <v>3279.540328</v>
      </c>
      <c r="Q12" s="919">
        <v>5646.2446579999996</v>
      </c>
      <c r="R12" s="919">
        <v>1832.919705</v>
      </c>
      <c r="S12" s="919">
        <v>199.819119</v>
      </c>
      <c r="T12" s="922">
        <v>7678.9834819999996</v>
      </c>
      <c r="W12" s="916"/>
      <c r="X12" s="916"/>
      <c r="Y12" s="916"/>
      <c r="Z12" s="916"/>
      <c r="AA12" s="916"/>
      <c r="AB12" s="916"/>
      <c r="AC12" s="916"/>
      <c r="AD12" s="916"/>
      <c r="AE12" s="916"/>
      <c r="AF12" s="916"/>
      <c r="AG12" s="916"/>
      <c r="AH12" s="916"/>
    </row>
    <row r="13" spans="1:34" x14ac:dyDescent="0.25">
      <c r="A13" s="917" t="s">
        <v>930</v>
      </c>
      <c r="B13" s="918">
        <v>9489.6801209999994</v>
      </c>
      <c r="C13" s="919">
        <v>622.21024599999998</v>
      </c>
      <c r="D13" s="920"/>
      <c r="E13" s="919">
        <v>2971.9582260000002</v>
      </c>
      <c r="F13" s="919">
        <v>251.84547699999999</v>
      </c>
      <c r="G13" s="920"/>
      <c r="H13" s="919">
        <v>1004.722281</v>
      </c>
      <c r="I13" s="921">
        <v>14340.416351</v>
      </c>
      <c r="J13" s="919">
        <v>176.93125000000001</v>
      </c>
      <c r="K13" s="919"/>
      <c r="L13" s="919"/>
      <c r="M13" s="919"/>
      <c r="N13" s="921">
        <v>176.93125000000001</v>
      </c>
      <c r="O13" s="922">
        <v>14517.347600999999</v>
      </c>
      <c r="P13" s="919">
        <v>3674.1778079999999</v>
      </c>
      <c r="Q13" s="919">
        <v>11666.833278</v>
      </c>
      <c r="R13" s="919">
        <v>815.23669800000005</v>
      </c>
      <c r="S13" s="919">
        <v>1067.6277809999999</v>
      </c>
      <c r="T13" s="922">
        <v>13549.697757</v>
      </c>
      <c r="W13" s="916"/>
      <c r="X13" s="916"/>
      <c r="Y13" s="916"/>
      <c r="Z13" s="916"/>
      <c r="AA13" s="916"/>
      <c r="AB13" s="916"/>
      <c r="AC13" s="916"/>
      <c r="AD13" s="916"/>
      <c r="AE13" s="916"/>
      <c r="AF13" s="916"/>
      <c r="AG13" s="916"/>
      <c r="AH13" s="916"/>
    </row>
    <row r="14" spans="1:34" x14ac:dyDescent="0.25">
      <c r="A14" s="917" t="s">
        <v>931</v>
      </c>
      <c r="B14" s="918">
        <v>391.65274699999998</v>
      </c>
      <c r="C14" s="919" t="s">
        <v>921</v>
      </c>
      <c r="D14" s="920" t="s">
        <v>921</v>
      </c>
      <c r="E14" s="919">
        <v>192.12455299999999</v>
      </c>
      <c r="F14" s="919">
        <v>2.7793700000000001</v>
      </c>
      <c r="G14" s="920"/>
      <c r="H14" s="919">
        <v>49.185732999999999</v>
      </c>
      <c r="I14" s="921">
        <v>680.86213499999997</v>
      </c>
      <c r="J14" s="919"/>
      <c r="K14" s="919"/>
      <c r="L14" s="919"/>
      <c r="M14" s="919"/>
      <c r="N14" s="921"/>
      <c r="O14" s="922">
        <v>680.86213499999997</v>
      </c>
      <c r="P14" s="919">
        <v>310.08533599999998</v>
      </c>
      <c r="Q14" s="919">
        <v>608.88305300000002</v>
      </c>
      <c r="R14" s="919"/>
      <c r="S14" s="919"/>
      <c r="T14" s="922">
        <v>608.88305300000002</v>
      </c>
      <c r="W14" s="916"/>
      <c r="X14" s="916"/>
      <c r="Y14" s="916"/>
      <c r="Z14" s="916"/>
      <c r="AA14" s="916"/>
      <c r="AB14" s="916"/>
      <c r="AC14" s="916"/>
      <c r="AD14" s="916"/>
      <c r="AE14" s="916"/>
      <c r="AF14" s="916"/>
      <c r="AG14" s="916"/>
      <c r="AH14" s="916"/>
    </row>
    <row r="15" spans="1:34" x14ac:dyDescent="0.25">
      <c r="A15" s="917" t="s">
        <v>932</v>
      </c>
      <c r="B15" s="918" t="s">
        <v>921</v>
      </c>
      <c r="C15" s="919"/>
      <c r="D15" s="920"/>
      <c r="E15" s="919"/>
      <c r="F15" s="919"/>
      <c r="G15" s="920"/>
      <c r="H15" s="919"/>
      <c r="I15" s="921" t="s">
        <v>921</v>
      </c>
      <c r="J15" s="919"/>
      <c r="K15" s="919"/>
      <c r="L15" s="919"/>
      <c r="M15" s="919"/>
      <c r="N15" s="921"/>
      <c r="O15" s="922" t="s">
        <v>921</v>
      </c>
      <c r="P15" s="919" t="s">
        <v>921</v>
      </c>
      <c r="Q15" s="919"/>
      <c r="R15" s="919"/>
      <c r="S15" s="919"/>
      <c r="T15" s="922"/>
      <c r="W15" s="916"/>
      <c r="X15" s="916"/>
      <c r="Y15" s="916"/>
      <c r="Z15" s="916"/>
      <c r="AA15" s="916"/>
      <c r="AB15" s="916"/>
      <c r="AC15" s="916"/>
      <c r="AD15" s="916"/>
      <c r="AE15" s="916"/>
      <c r="AF15" s="916"/>
      <c r="AG15" s="916"/>
      <c r="AH15" s="916"/>
    </row>
    <row r="16" spans="1:34" x14ac:dyDescent="0.25">
      <c r="A16" s="917" t="s">
        <v>933</v>
      </c>
      <c r="B16" s="918">
        <v>3299.629833</v>
      </c>
      <c r="C16" s="919">
        <v>86.340115999999995</v>
      </c>
      <c r="D16" s="920"/>
      <c r="E16" s="919">
        <v>1499.238278</v>
      </c>
      <c r="F16" s="919">
        <v>452.90938399999999</v>
      </c>
      <c r="G16" s="920" t="s">
        <v>921</v>
      </c>
      <c r="H16" s="919">
        <v>601.49446</v>
      </c>
      <c r="I16" s="921">
        <v>5939.6120709999996</v>
      </c>
      <c r="J16" s="919" t="s">
        <v>921</v>
      </c>
      <c r="K16" s="919"/>
      <c r="L16" s="919"/>
      <c r="M16" s="919"/>
      <c r="N16" s="921" t="s">
        <v>921</v>
      </c>
      <c r="O16" s="922">
        <v>6041.5351170000004</v>
      </c>
      <c r="P16" s="919">
        <v>1759.2579479999999</v>
      </c>
      <c r="Q16" s="919">
        <v>4906.2599499999997</v>
      </c>
      <c r="R16" s="919">
        <v>479.90165100000002</v>
      </c>
      <c r="S16" s="919" t="s">
        <v>921</v>
      </c>
      <c r="T16" s="922">
        <v>5413.7284479999998</v>
      </c>
      <c r="W16" s="916"/>
      <c r="X16" s="916"/>
      <c r="Y16" s="916"/>
      <c r="Z16" s="916"/>
      <c r="AA16" s="916"/>
      <c r="AB16" s="916"/>
      <c r="AC16" s="916"/>
      <c r="AD16" s="916"/>
      <c r="AE16" s="916"/>
      <c r="AF16" s="916"/>
      <c r="AG16" s="916"/>
      <c r="AH16" s="916"/>
    </row>
    <row r="17" spans="1:34" x14ac:dyDescent="0.25">
      <c r="A17" s="917" t="s">
        <v>934</v>
      </c>
      <c r="B17" s="918">
        <v>7144.2160469999999</v>
      </c>
      <c r="C17" s="919">
        <v>285.01072499999998</v>
      </c>
      <c r="D17" s="920"/>
      <c r="E17" s="919">
        <v>2367.1132699999998</v>
      </c>
      <c r="F17" s="919">
        <v>63.211295</v>
      </c>
      <c r="G17" s="920"/>
      <c r="H17" s="919">
        <v>259.75505399999997</v>
      </c>
      <c r="I17" s="921">
        <v>10119.306391</v>
      </c>
      <c r="J17" s="919">
        <v>263.30799999999999</v>
      </c>
      <c r="K17" s="919"/>
      <c r="L17" s="919"/>
      <c r="M17" s="919"/>
      <c r="N17" s="921">
        <v>263.30799999999999</v>
      </c>
      <c r="O17" s="922">
        <v>10382.614390999999</v>
      </c>
      <c r="P17" s="919">
        <v>2961.7932780000001</v>
      </c>
      <c r="Q17" s="919">
        <v>7720.343288</v>
      </c>
      <c r="R17" s="919">
        <v>1179.79808</v>
      </c>
      <c r="S17" s="919">
        <v>596.39943200000005</v>
      </c>
      <c r="T17" s="922">
        <v>9496.5408000000007</v>
      </c>
      <c r="W17" s="916"/>
      <c r="X17" s="916"/>
      <c r="Y17" s="916"/>
      <c r="Z17" s="916"/>
      <c r="AA17" s="916"/>
      <c r="AB17" s="916"/>
      <c r="AC17" s="916"/>
      <c r="AD17" s="916"/>
      <c r="AE17" s="916"/>
      <c r="AF17" s="916"/>
      <c r="AG17" s="916"/>
      <c r="AH17" s="916"/>
    </row>
    <row r="18" spans="1:34" x14ac:dyDescent="0.25">
      <c r="A18" s="917" t="s">
        <v>935</v>
      </c>
      <c r="B18" s="918">
        <v>7780.422509</v>
      </c>
      <c r="C18" s="919">
        <v>828.91127200000005</v>
      </c>
      <c r="D18" s="920"/>
      <c r="E18" s="919">
        <v>4895.453708</v>
      </c>
      <c r="F18" s="919">
        <v>59.223042999999997</v>
      </c>
      <c r="G18" s="920"/>
      <c r="H18" s="919">
        <v>785.54748800000004</v>
      </c>
      <c r="I18" s="921">
        <v>14349.55802</v>
      </c>
      <c r="J18" s="919">
        <v>179.17546100000001</v>
      </c>
      <c r="K18" s="919"/>
      <c r="L18" s="919"/>
      <c r="M18" s="919"/>
      <c r="N18" s="921">
        <v>179.17546100000001</v>
      </c>
      <c r="O18" s="922">
        <v>14528.733480999999</v>
      </c>
      <c r="P18" s="919">
        <v>3911.588162</v>
      </c>
      <c r="Q18" s="919">
        <v>9935.9027029999997</v>
      </c>
      <c r="R18" s="919">
        <v>3342.3386150000001</v>
      </c>
      <c r="S18" s="919"/>
      <c r="T18" s="922">
        <v>13278.241318</v>
      </c>
      <c r="W18" s="916"/>
      <c r="X18" s="916"/>
      <c r="Y18" s="916"/>
      <c r="Z18" s="916"/>
      <c r="AA18" s="916"/>
      <c r="AB18" s="916"/>
      <c r="AC18" s="916"/>
      <c r="AD18" s="916"/>
      <c r="AE18" s="916"/>
      <c r="AF18" s="916"/>
      <c r="AG18" s="916"/>
      <c r="AH18" s="916"/>
    </row>
    <row r="19" spans="1:34" x14ac:dyDescent="0.25">
      <c r="A19" s="917" t="s">
        <v>936</v>
      </c>
      <c r="B19" s="918">
        <v>2271.8617340000001</v>
      </c>
      <c r="C19" s="919">
        <v>118.007025</v>
      </c>
      <c r="D19" s="920"/>
      <c r="E19" s="919">
        <v>734.244373</v>
      </c>
      <c r="F19" s="919">
        <v>3.3672010000000001</v>
      </c>
      <c r="G19" s="920"/>
      <c r="H19" s="919">
        <v>757.80436699999996</v>
      </c>
      <c r="I19" s="921">
        <v>3885.2847000000002</v>
      </c>
      <c r="J19" s="919"/>
      <c r="K19" s="919"/>
      <c r="L19" s="919"/>
      <c r="M19" s="919"/>
      <c r="N19" s="921"/>
      <c r="O19" s="922">
        <v>3885.2847000000002</v>
      </c>
      <c r="P19" s="919">
        <v>574.49432400000001</v>
      </c>
      <c r="Q19" s="919">
        <v>2855.4900640000001</v>
      </c>
      <c r="R19" s="919"/>
      <c r="S19" s="919">
        <v>656.59037599999999</v>
      </c>
      <c r="T19" s="922">
        <v>3512.0804400000002</v>
      </c>
      <c r="W19" s="916"/>
      <c r="X19" s="916"/>
      <c r="Y19" s="916"/>
      <c r="Z19" s="916"/>
      <c r="AA19" s="916"/>
      <c r="AB19" s="916"/>
      <c r="AC19" s="916"/>
      <c r="AD19" s="916"/>
      <c r="AE19" s="916"/>
      <c r="AF19" s="916"/>
      <c r="AG19" s="916"/>
      <c r="AH19" s="916"/>
    </row>
    <row r="20" spans="1:34" x14ac:dyDescent="0.25">
      <c r="A20" s="917" t="s">
        <v>937</v>
      </c>
      <c r="B20" s="918" t="s">
        <v>921</v>
      </c>
      <c r="C20" s="919"/>
      <c r="D20" s="920"/>
      <c r="E20" s="919" t="s">
        <v>921</v>
      </c>
      <c r="F20" s="919"/>
      <c r="G20" s="920"/>
      <c r="H20" s="919" t="s">
        <v>921</v>
      </c>
      <c r="I20" s="921">
        <v>65.893101999999999</v>
      </c>
      <c r="J20" s="919"/>
      <c r="K20" s="919"/>
      <c r="L20" s="919"/>
      <c r="M20" s="919"/>
      <c r="N20" s="921"/>
      <c r="O20" s="922">
        <v>65.893101999999999</v>
      </c>
      <c r="P20" s="919">
        <v>32.222169999999998</v>
      </c>
      <c r="Q20" s="919">
        <v>62.763427</v>
      </c>
      <c r="R20" s="919"/>
      <c r="S20" s="919"/>
      <c r="T20" s="922">
        <v>62.763427</v>
      </c>
      <c r="W20" s="916"/>
      <c r="X20" s="916"/>
      <c r="Y20" s="916"/>
      <c r="Z20" s="916"/>
      <c r="AA20" s="916"/>
      <c r="AB20" s="916"/>
      <c r="AC20" s="916"/>
      <c r="AD20" s="916"/>
      <c r="AE20" s="916"/>
      <c r="AF20" s="916"/>
      <c r="AG20" s="916"/>
      <c r="AH20" s="916"/>
    </row>
    <row r="21" spans="1:34" x14ac:dyDescent="0.25">
      <c r="A21" s="917" t="s">
        <v>938</v>
      </c>
      <c r="B21" s="918"/>
      <c r="C21" s="919"/>
      <c r="D21" s="920"/>
      <c r="E21" s="919"/>
      <c r="F21" s="919"/>
      <c r="G21" s="920"/>
      <c r="H21" s="919"/>
      <c r="I21" s="921"/>
      <c r="J21" s="919"/>
      <c r="K21" s="919"/>
      <c r="L21" s="919"/>
      <c r="M21" s="919"/>
      <c r="N21" s="921"/>
      <c r="O21" s="922"/>
      <c r="P21" s="919"/>
      <c r="Q21" s="919"/>
      <c r="R21" s="919"/>
      <c r="S21" s="919"/>
      <c r="T21" s="922"/>
      <c r="W21" s="916"/>
      <c r="X21" s="916"/>
      <c r="Y21" s="916"/>
      <c r="Z21" s="916"/>
      <c r="AA21" s="916"/>
      <c r="AB21" s="916"/>
      <c r="AC21" s="916"/>
      <c r="AD21" s="916"/>
      <c r="AE21" s="916"/>
      <c r="AF21" s="916"/>
      <c r="AG21" s="916"/>
      <c r="AH21" s="916"/>
    </row>
    <row r="22" spans="1:34" x14ac:dyDescent="0.25">
      <c r="A22" s="917" t="s">
        <v>939</v>
      </c>
      <c r="B22" s="918">
        <v>253.68441999999999</v>
      </c>
      <c r="C22" s="919" t="s">
        <v>921</v>
      </c>
      <c r="D22" s="920"/>
      <c r="E22" s="919">
        <v>124.636377</v>
      </c>
      <c r="F22" s="919"/>
      <c r="G22" s="920"/>
      <c r="H22" s="919">
        <v>111.74035600000001</v>
      </c>
      <c r="I22" s="921">
        <v>520.09240299999999</v>
      </c>
      <c r="J22" s="919"/>
      <c r="K22" s="919"/>
      <c r="L22" s="919"/>
      <c r="M22" s="919"/>
      <c r="N22" s="921"/>
      <c r="O22" s="922">
        <v>520.09240299999999</v>
      </c>
      <c r="P22" s="919">
        <v>126.752894</v>
      </c>
      <c r="Q22" s="919">
        <v>352.02783399999998</v>
      </c>
      <c r="R22" s="919" t="s">
        <v>921</v>
      </c>
      <c r="S22" s="919" t="s">
        <v>921</v>
      </c>
      <c r="T22" s="922">
        <v>402.14368200000001</v>
      </c>
      <c r="W22" s="916"/>
      <c r="X22" s="916"/>
      <c r="Y22" s="916"/>
      <c r="Z22" s="916"/>
      <c r="AA22" s="916"/>
      <c r="AB22" s="916"/>
      <c r="AC22" s="916"/>
      <c r="AD22" s="916"/>
      <c r="AE22" s="916"/>
      <c r="AF22" s="916"/>
      <c r="AG22" s="916"/>
      <c r="AH22" s="916"/>
    </row>
    <row r="23" spans="1:34" x14ac:dyDescent="0.25">
      <c r="A23" s="917" t="s">
        <v>940</v>
      </c>
      <c r="B23" s="918"/>
      <c r="C23" s="919"/>
      <c r="D23" s="920"/>
      <c r="E23" s="919"/>
      <c r="F23" s="919"/>
      <c r="G23" s="920"/>
      <c r="H23" s="919"/>
      <c r="I23" s="921"/>
      <c r="J23" s="919"/>
      <c r="K23" s="919"/>
      <c r="L23" s="919"/>
      <c r="M23" s="919"/>
      <c r="N23" s="921"/>
      <c r="O23" s="922"/>
      <c r="P23" s="919"/>
      <c r="Q23" s="919"/>
      <c r="R23" s="919"/>
      <c r="S23" s="919"/>
      <c r="T23" s="922"/>
      <c r="W23" s="916"/>
      <c r="X23" s="916"/>
      <c r="Y23" s="916"/>
      <c r="Z23" s="916"/>
      <c r="AA23" s="916"/>
      <c r="AB23" s="916"/>
      <c r="AC23" s="916"/>
      <c r="AD23" s="916"/>
      <c r="AE23" s="916"/>
      <c r="AF23" s="916"/>
      <c r="AG23" s="916"/>
      <c r="AH23" s="916"/>
    </row>
    <row r="24" spans="1:34" s="916" customFormat="1" x14ac:dyDescent="0.25">
      <c r="A24" s="910" t="s">
        <v>229</v>
      </c>
      <c r="B24" s="923">
        <v>25559.078732000002</v>
      </c>
      <c r="C24" s="924">
        <v>1318.782639</v>
      </c>
      <c r="D24" s="925" t="s">
        <v>921</v>
      </c>
      <c r="E24" s="924">
        <v>8823.1314139999995</v>
      </c>
      <c r="F24" s="924">
        <v>373.86566199999999</v>
      </c>
      <c r="G24" s="925" t="s">
        <v>921</v>
      </c>
      <c r="H24" s="924">
        <v>2792.2884629999999</v>
      </c>
      <c r="I24" s="914">
        <v>38867.146910000003</v>
      </c>
      <c r="J24" s="924">
        <v>431.96011099999998</v>
      </c>
      <c r="K24" s="924"/>
      <c r="L24" s="924"/>
      <c r="M24" s="924" t="s">
        <v>921</v>
      </c>
      <c r="N24" s="914">
        <v>443.64937300000003</v>
      </c>
      <c r="O24" s="914">
        <v>39310.796283000003</v>
      </c>
      <c r="P24" s="924">
        <v>11064.356447</v>
      </c>
      <c r="Q24" s="924">
        <v>31377.85513</v>
      </c>
      <c r="R24" s="924">
        <v>2330.1614169999998</v>
      </c>
      <c r="S24" s="924">
        <v>1196.9362610000001</v>
      </c>
      <c r="T24" s="914">
        <v>34904.952808000002</v>
      </c>
    </row>
    <row r="25" spans="1:34" x14ac:dyDescent="0.25">
      <c r="A25" s="917" t="s">
        <v>941</v>
      </c>
      <c r="B25" s="918">
        <v>11304.832515</v>
      </c>
      <c r="C25" s="919">
        <v>653.546199</v>
      </c>
      <c r="D25" s="920"/>
      <c r="E25" s="919">
        <v>4493.270176</v>
      </c>
      <c r="F25" s="919">
        <v>73.496296999999998</v>
      </c>
      <c r="G25" s="920"/>
      <c r="H25" s="919">
        <v>659.92483700000003</v>
      </c>
      <c r="I25" s="921">
        <v>17185.070024000001</v>
      </c>
      <c r="J25" s="919" t="s">
        <v>921</v>
      </c>
      <c r="K25" s="919"/>
      <c r="L25" s="919"/>
      <c r="M25" s="919"/>
      <c r="N25" s="921" t="s">
        <v>921</v>
      </c>
      <c r="O25" s="922">
        <v>17201.568823000001</v>
      </c>
      <c r="P25" s="919">
        <v>4537.3629259999998</v>
      </c>
      <c r="Q25" s="919">
        <v>12922.354111000001</v>
      </c>
      <c r="R25" s="919">
        <v>1279.6315910000001</v>
      </c>
      <c r="S25" s="919">
        <v>816.15322600000002</v>
      </c>
      <c r="T25" s="922">
        <v>15018.138928</v>
      </c>
      <c r="W25" s="916"/>
      <c r="X25" s="916"/>
      <c r="Y25" s="916"/>
      <c r="Z25" s="916"/>
      <c r="AA25" s="916"/>
      <c r="AB25" s="916"/>
      <c r="AC25" s="916"/>
      <c r="AD25" s="916"/>
      <c r="AE25" s="916"/>
      <c r="AF25" s="916"/>
      <c r="AG25" s="916"/>
      <c r="AH25" s="916"/>
    </row>
    <row r="26" spans="1:34" x14ac:dyDescent="0.25">
      <c r="A26" s="917" t="s">
        <v>942</v>
      </c>
      <c r="B26" s="918">
        <v>3619.0440359999998</v>
      </c>
      <c r="C26" s="919">
        <v>188.699387</v>
      </c>
      <c r="D26" s="920"/>
      <c r="E26" s="919">
        <v>1636.4504569999999</v>
      </c>
      <c r="F26" s="919">
        <v>78.850018000000006</v>
      </c>
      <c r="G26" s="920"/>
      <c r="H26" s="919">
        <v>508.53177299999999</v>
      </c>
      <c r="I26" s="921">
        <v>6031.5756709999996</v>
      </c>
      <c r="J26" s="919" t="s">
        <v>921</v>
      </c>
      <c r="K26" s="919"/>
      <c r="L26" s="919"/>
      <c r="M26" s="919" t="s">
        <v>921</v>
      </c>
      <c r="N26" s="921">
        <v>15.917249999999999</v>
      </c>
      <c r="O26" s="922">
        <v>6047.492921</v>
      </c>
      <c r="P26" s="919">
        <v>1822.0364790000001</v>
      </c>
      <c r="Q26" s="919">
        <v>5034.6628229999997</v>
      </c>
      <c r="R26" s="919">
        <v>66.641571999999996</v>
      </c>
      <c r="S26" s="919">
        <v>111.17823300000001</v>
      </c>
      <c r="T26" s="922">
        <v>5212.4826279999997</v>
      </c>
      <c r="W26" s="916"/>
      <c r="X26" s="916"/>
      <c r="Y26" s="916"/>
      <c r="Z26" s="916"/>
      <c r="AA26" s="916"/>
      <c r="AB26" s="916"/>
      <c r="AC26" s="916"/>
      <c r="AD26" s="916"/>
      <c r="AE26" s="916"/>
      <c r="AF26" s="916"/>
      <c r="AG26" s="916"/>
      <c r="AH26" s="916"/>
    </row>
    <row r="27" spans="1:34" x14ac:dyDescent="0.25">
      <c r="A27" s="917" t="s">
        <v>943</v>
      </c>
      <c r="B27" s="918"/>
      <c r="C27" s="919"/>
      <c r="D27" s="920"/>
      <c r="E27" s="919"/>
      <c r="F27" s="919"/>
      <c r="G27" s="920"/>
      <c r="H27" s="919"/>
      <c r="I27" s="921"/>
      <c r="J27" s="919"/>
      <c r="K27" s="919"/>
      <c r="L27" s="919"/>
      <c r="M27" s="919"/>
      <c r="N27" s="921"/>
      <c r="O27" s="922"/>
      <c r="P27" s="919"/>
      <c r="Q27" s="919"/>
      <c r="R27" s="919"/>
      <c r="S27" s="919"/>
      <c r="T27" s="922"/>
      <c r="W27" s="916"/>
      <c r="X27" s="916"/>
      <c r="Y27" s="916"/>
      <c r="Z27" s="916"/>
      <c r="AA27" s="916"/>
      <c r="AB27" s="916"/>
      <c r="AC27" s="916"/>
      <c r="AD27" s="916"/>
      <c r="AE27" s="916"/>
      <c r="AF27" s="916"/>
      <c r="AG27" s="916"/>
      <c r="AH27" s="916"/>
    </row>
    <row r="28" spans="1:34" x14ac:dyDescent="0.25">
      <c r="A28" s="917" t="s">
        <v>944</v>
      </c>
      <c r="B28" s="918">
        <v>15.936934000000001</v>
      </c>
      <c r="C28" s="919"/>
      <c r="D28" s="920"/>
      <c r="E28" s="919"/>
      <c r="F28" s="919"/>
      <c r="G28" s="920"/>
      <c r="H28" s="919"/>
      <c r="I28" s="921">
        <v>15.936934000000001</v>
      </c>
      <c r="J28" s="919"/>
      <c r="K28" s="919"/>
      <c r="L28" s="919"/>
      <c r="M28" s="919"/>
      <c r="N28" s="921"/>
      <c r="O28" s="922">
        <v>15.936934000000001</v>
      </c>
      <c r="P28" s="919"/>
      <c r="Q28" s="919">
        <v>15.936934000000001</v>
      </c>
      <c r="R28" s="919"/>
      <c r="S28" s="919"/>
      <c r="T28" s="922">
        <v>15.936934000000001</v>
      </c>
      <c r="W28" s="916"/>
      <c r="X28" s="916"/>
      <c r="Y28" s="916"/>
      <c r="Z28" s="916"/>
      <c r="AA28" s="916"/>
      <c r="AB28" s="916"/>
      <c r="AC28" s="916"/>
      <c r="AD28" s="916"/>
      <c r="AE28" s="916"/>
      <c r="AF28" s="916"/>
      <c r="AG28" s="916"/>
      <c r="AH28" s="916"/>
    </row>
    <row r="29" spans="1:34" x14ac:dyDescent="0.25">
      <c r="A29" s="917" t="s">
        <v>945</v>
      </c>
      <c r="B29" s="918">
        <v>6558.8514349999996</v>
      </c>
      <c r="C29" s="919">
        <v>381.50988000000001</v>
      </c>
      <c r="D29" s="920" t="s">
        <v>921</v>
      </c>
      <c r="E29" s="919">
        <v>1909.734465</v>
      </c>
      <c r="F29" s="919">
        <v>162.809911</v>
      </c>
      <c r="G29" s="920"/>
      <c r="H29" s="919">
        <v>1321.5860299999999</v>
      </c>
      <c r="I29" s="921">
        <v>10334.491721</v>
      </c>
      <c r="J29" s="919">
        <v>411.23332399999998</v>
      </c>
      <c r="K29" s="919"/>
      <c r="L29" s="919"/>
      <c r="M29" s="919"/>
      <c r="N29" s="921">
        <v>411.23332399999998</v>
      </c>
      <c r="O29" s="922">
        <v>10745.725044999999</v>
      </c>
      <c r="P29" s="919">
        <v>2885.355485</v>
      </c>
      <c r="Q29" s="919">
        <v>8823.0428950000005</v>
      </c>
      <c r="R29" s="919">
        <v>876.44012399999997</v>
      </c>
      <c r="S29" s="919">
        <v>53.050893000000002</v>
      </c>
      <c r="T29" s="922">
        <v>9752.5339120000008</v>
      </c>
      <c r="W29" s="916"/>
      <c r="X29" s="916"/>
      <c r="Y29" s="916"/>
      <c r="Z29" s="916"/>
      <c r="AA29" s="916"/>
      <c r="AB29" s="916"/>
      <c r="AC29" s="916"/>
      <c r="AD29" s="916"/>
      <c r="AE29" s="916"/>
      <c r="AF29" s="916"/>
      <c r="AG29" s="916"/>
      <c r="AH29" s="916"/>
    </row>
    <row r="30" spans="1:34" x14ac:dyDescent="0.25">
      <c r="A30" s="917" t="s">
        <v>946</v>
      </c>
      <c r="B30" s="918">
        <v>2448.9704620000002</v>
      </c>
      <c r="C30" s="919">
        <v>68.447602000000003</v>
      </c>
      <c r="D30" s="920"/>
      <c r="E30" s="919">
        <v>403.04608500000001</v>
      </c>
      <c r="F30" s="919">
        <v>27.878366</v>
      </c>
      <c r="G30" s="920"/>
      <c r="H30" s="919">
        <v>142.33256700000001</v>
      </c>
      <c r="I30" s="921">
        <v>3090.6750820000002</v>
      </c>
      <c r="J30" s="919"/>
      <c r="K30" s="919"/>
      <c r="L30" s="919"/>
      <c r="M30" s="919"/>
      <c r="N30" s="921"/>
      <c r="O30" s="922">
        <v>3090.6750820000002</v>
      </c>
      <c r="P30" s="919">
        <v>1475.893063</v>
      </c>
      <c r="Q30" s="919">
        <v>2668.1253099999999</v>
      </c>
      <c r="R30" s="919" t="s">
        <v>921</v>
      </c>
      <c r="S30" s="919">
        <v>214.44844599999999</v>
      </c>
      <c r="T30" s="922">
        <v>2888.1908290000001</v>
      </c>
      <c r="W30" s="916"/>
      <c r="X30" s="916"/>
      <c r="Y30" s="916"/>
      <c r="Z30" s="916"/>
      <c r="AA30" s="916"/>
      <c r="AB30" s="916"/>
      <c r="AC30" s="916"/>
      <c r="AD30" s="916"/>
      <c r="AE30" s="916"/>
      <c r="AF30" s="916"/>
      <c r="AG30" s="916"/>
      <c r="AH30" s="916"/>
    </row>
    <row r="31" spans="1:34" x14ac:dyDescent="0.25">
      <c r="A31" s="917" t="s">
        <v>947</v>
      </c>
      <c r="B31" s="918">
        <v>24.122104</v>
      </c>
      <c r="C31" s="919"/>
      <c r="D31" s="920"/>
      <c r="E31" s="919"/>
      <c r="F31" s="919"/>
      <c r="G31" s="920"/>
      <c r="H31" s="919"/>
      <c r="I31" s="921">
        <v>24.122104</v>
      </c>
      <c r="J31" s="919"/>
      <c r="K31" s="919"/>
      <c r="L31" s="919"/>
      <c r="M31" s="919"/>
      <c r="N31" s="921"/>
      <c r="O31" s="922">
        <v>24.122104</v>
      </c>
      <c r="P31" s="919"/>
      <c r="Q31" s="919">
        <v>24.122104</v>
      </c>
      <c r="R31" s="919"/>
      <c r="S31" s="919"/>
      <c r="T31" s="922">
        <v>24.122104</v>
      </c>
      <c r="W31" s="916"/>
      <c r="X31" s="916"/>
      <c r="Y31" s="916"/>
      <c r="Z31" s="916"/>
      <c r="AA31" s="916"/>
      <c r="AB31" s="916"/>
      <c r="AC31" s="916"/>
      <c r="AD31" s="916"/>
      <c r="AE31" s="916"/>
      <c r="AF31" s="916"/>
      <c r="AG31" s="916"/>
      <c r="AH31" s="916"/>
    </row>
    <row r="32" spans="1:34" x14ac:dyDescent="0.25">
      <c r="A32" s="917" t="s">
        <v>948</v>
      </c>
      <c r="B32" s="918"/>
      <c r="C32" s="919"/>
      <c r="D32" s="920"/>
      <c r="E32" s="919"/>
      <c r="F32" s="919"/>
      <c r="G32" s="920"/>
      <c r="H32" s="919"/>
      <c r="I32" s="921"/>
      <c r="J32" s="919"/>
      <c r="K32" s="919"/>
      <c r="L32" s="919"/>
      <c r="M32" s="919"/>
      <c r="N32" s="921"/>
      <c r="O32" s="922"/>
      <c r="P32" s="919"/>
      <c r="Q32" s="919"/>
      <c r="R32" s="919"/>
      <c r="S32" s="919"/>
      <c r="T32" s="922"/>
      <c r="W32" s="916"/>
      <c r="X32" s="916"/>
      <c r="Y32" s="916"/>
      <c r="Z32" s="916"/>
      <c r="AA32" s="916"/>
      <c r="AB32" s="916"/>
      <c r="AC32" s="916"/>
      <c r="AD32" s="916"/>
      <c r="AE32" s="916"/>
      <c r="AF32" s="916"/>
      <c r="AG32" s="916"/>
      <c r="AH32" s="916"/>
    </row>
    <row r="33" spans="1:34" x14ac:dyDescent="0.25">
      <c r="A33" s="917" t="s">
        <v>949</v>
      </c>
      <c r="B33" s="918">
        <v>415.35795200000001</v>
      </c>
      <c r="C33" s="919">
        <v>12.820649</v>
      </c>
      <c r="D33" s="920"/>
      <c r="E33" s="919">
        <v>119.13213500000001</v>
      </c>
      <c r="F33" s="919">
        <v>14.168587</v>
      </c>
      <c r="G33" s="920"/>
      <c r="H33" s="919">
        <v>33.320120000000003</v>
      </c>
      <c r="I33" s="921">
        <v>594.799443</v>
      </c>
      <c r="J33" s="919"/>
      <c r="K33" s="919"/>
      <c r="L33" s="919"/>
      <c r="M33" s="919"/>
      <c r="N33" s="921"/>
      <c r="O33" s="922">
        <v>594.799443</v>
      </c>
      <c r="P33" s="919">
        <v>89.875772999999995</v>
      </c>
      <c r="Q33" s="919">
        <v>567.64725399999998</v>
      </c>
      <c r="R33" s="919"/>
      <c r="S33" s="919"/>
      <c r="T33" s="922">
        <v>567.64725399999998</v>
      </c>
      <c r="W33" s="916"/>
      <c r="X33" s="916"/>
      <c r="Y33" s="916"/>
      <c r="Z33" s="916"/>
      <c r="AA33" s="916"/>
      <c r="AB33" s="916"/>
      <c r="AC33" s="916"/>
      <c r="AD33" s="916"/>
      <c r="AE33" s="916"/>
      <c r="AF33" s="916"/>
      <c r="AG33" s="916"/>
      <c r="AH33" s="916"/>
    </row>
    <row r="34" spans="1:34" x14ac:dyDescent="0.25">
      <c r="A34" s="917" t="s">
        <v>950</v>
      </c>
      <c r="B34" s="918">
        <v>898.03882899999996</v>
      </c>
      <c r="C34" s="919">
        <v>13.758922</v>
      </c>
      <c r="D34" s="920"/>
      <c r="E34" s="919">
        <v>51.557755999999998</v>
      </c>
      <c r="F34" s="919">
        <v>12.418654</v>
      </c>
      <c r="G34" s="920" t="s">
        <v>921</v>
      </c>
      <c r="H34" s="919">
        <v>89.347813000000002</v>
      </c>
      <c r="I34" s="921">
        <v>1065.1219739999999</v>
      </c>
      <c r="J34" s="919"/>
      <c r="K34" s="919"/>
      <c r="L34" s="919"/>
      <c r="M34" s="919"/>
      <c r="N34" s="921"/>
      <c r="O34" s="922">
        <v>1065.1219739999999</v>
      </c>
      <c r="P34" s="919">
        <v>168.715971</v>
      </c>
      <c r="Q34" s="919">
        <v>942.90328399999999</v>
      </c>
      <c r="R34" s="919"/>
      <c r="S34" s="919"/>
      <c r="T34" s="922">
        <v>942.90328399999999</v>
      </c>
      <c r="W34" s="916"/>
      <c r="X34" s="916"/>
      <c r="Y34" s="916"/>
      <c r="Z34" s="916"/>
      <c r="AA34" s="916"/>
      <c r="AB34" s="916"/>
      <c r="AC34" s="916"/>
      <c r="AD34" s="916"/>
      <c r="AE34" s="916"/>
      <c r="AF34" s="916"/>
      <c r="AG34" s="916"/>
      <c r="AH34" s="916"/>
    </row>
    <row r="35" spans="1:34" x14ac:dyDescent="0.25">
      <c r="A35" s="917" t="s">
        <v>951</v>
      </c>
      <c r="B35" s="918">
        <v>273.924465</v>
      </c>
      <c r="C35" s="919"/>
      <c r="D35" s="920"/>
      <c r="E35" s="919">
        <v>209.94033999999999</v>
      </c>
      <c r="F35" s="919" t="s">
        <v>921</v>
      </c>
      <c r="G35" s="920"/>
      <c r="H35" s="919">
        <v>37.245322999999999</v>
      </c>
      <c r="I35" s="921">
        <v>525.35395700000004</v>
      </c>
      <c r="J35" s="919"/>
      <c r="K35" s="919"/>
      <c r="L35" s="919"/>
      <c r="M35" s="919"/>
      <c r="N35" s="921"/>
      <c r="O35" s="922">
        <v>525.35395700000004</v>
      </c>
      <c r="P35" s="919">
        <v>85.116749999999996</v>
      </c>
      <c r="Q35" s="919">
        <v>379.06041499999998</v>
      </c>
      <c r="R35" s="919" t="s">
        <v>921</v>
      </c>
      <c r="S35" s="919" t="s">
        <v>921</v>
      </c>
      <c r="T35" s="922">
        <v>482.99693500000001</v>
      </c>
      <c r="W35" s="916"/>
      <c r="X35" s="916"/>
      <c r="Y35" s="916"/>
      <c r="Z35" s="916"/>
      <c r="AA35" s="916"/>
      <c r="AB35" s="916"/>
      <c r="AC35" s="916"/>
      <c r="AD35" s="916"/>
      <c r="AE35" s="916"/>
      <c r="AF35" s="916"/>
      <c r="AG35" s="916"/>
      <c r="AH35" s="916"/>
    </row>
    <row r="36" spans="1:34" s="916" customFormat="1" x14ac:dyDescent="0.25">
      <c r="A36" s="910" t="s">
        <v>115</v>
      </c>
      <c r="B36" s="923">
        <v>25533.044680999999</v>
      </c>
      <c r="C36" s="924">
        <v>1407.2842700000001</v>
      </c>
      <c r="D36" s="925" t="s">
        <v>921</v>
      </c>
      <c r="E36" s="924">
        <v>12944.716172</v>
      </c>
      <c r="F36" s="924">
        <v>698.20265600000005</v>
      </c>
      <c r="G36" s="925">
        <v>5.2240140000000004</v>
      </c>
      <c r="H36" s="924">
        <v>4403.6431259999999</v>
      </c>
      <c r="I36" s="914">
        <v>44986.890905</v>
      </c>
      <c r="J36" s="924">
        <v>1647.989744</v>
      </c>
      <c r="K36" s="924"/>
      <c r="L36" s="924" t="s">
        <v>921</v>
      </c>
      <c r="M36" s="924">
        <v>105.148293</v>
      </c>
      <c r="N36" s="914">
        <v>1753.1492900000001</v>
      </c>
      <c r="O36" s="914">
        <v>46740.040195000001</v>
      </c>
      <c r="P36" s="924">
        <v>13552.048752000001</v>
      </c>
      <c r="Q36" s="924">
        <v>38066.141949999997</v>
      </c>
      <c r="R36" s="924">
        <v>1663.290929</v>
      </c>
      <c r="S36" s="924">
        <v>3036.540184</v>
      </c>
      <c r="T36" s="914">
        <v>42765.973062999998</v>
      </c>
    </row>
    <row r="37" spans="1:34" x14ac:dyDescent="0.25">
      <c r="A37" s="917" t="s">
        <v>952</v>
      </c>
      <c r="B37" s="918">
        <v>3762.8371480000001</v>
      </c>
      <c r="C37" s="919">
        <v>133.36101600000001</v>
      </c>
      <c r="D37" s="920"/>
      <c r="E37" s="919">
        <v>1624.6270649999999</v>
      </c>
      <c r="F37" s="919">
        <v>106.56481599999999</v>
      </c>
      <c r="G37" s="920" t="s">
        <v>921</v>
      </c>
      <c r="H37" s="919">
        <v>453.219176</v>
      </c>
      <c r="I37" s="921">
        <v>6080.6092209999997</v>
      </c>
      <c r="J37" s="919">
        <v>123.93551100000001</v>
      </c>
      <c r="K37" s="919"/>
      <c r="L37" s="919"/>
      <c r="M37" s="919" t="s">
        <v>921</v>
      </c>
      <c r="N37" s="921">
        <v>147.26138499999999</v>
      </c>
      <c r="O37" s="922">
        <v>6227.8706060000004</v>
      </c>
      <c r="P37" s="919">
        <v>1484.85619</v>
      </c>
      <c r="Q37" s="919">
        <v>5483.2847949999996</v>
      </c>
      <c r="R37" s="919">
        <v>400.31656900000002</v>
      </c>
      <c r="S37" s="919" t="s">
        <v>921</v>
      </c>
      <c r="T37" s="922">
        <v>5901.9007810000003</v>
      </c>
      <c r="W37" s="916"/>
      <c r="X37" s="916"/>
      <c r="Y37" s="916"/>
      <c r="Z37" s="916"/>
      <c r="AA37" s="916"/>
      <c r="AB37" s="916"/>
      <c r="AC37" s="916"/>
      <c r="AD37" s="916"/>
      <c r="AE37" s="916"/>
      <c r="AF37" s="916"/>
      <c r="AG37" s="916"/>
      <c r="AH37" s="916"/>
    </row>
    <row r="38" spans="1:34" x14ac:dyDescent="0.25">
      <c r="A38" s="917" t="s">
        <v>953</v>
      </c>
      <c r="B38" s="918">
        <v>14219.315141999999</v>
      </c>
      <c r="C38" s="919">
        <v>607.56898999999999</v>
      </c>
      <c r="D38" s="920" t="s">
        <v>921</v>
      </c>
      <c r="E38" s="919">
        <v>7990.9189470000001</v>
      </c>
      <c r="F38" s="919">
        <v>483.12326999999999</v>
      </c>
      <c r="G38" s="920" t="s">
        <v>921</v>
      </c>
      <c r="H38" s="919">
        <v>2941.4680450000001</v>
      </c>
      <c r="I38" s="921">
        <v>26242.394393999999</v>
      </c>
      <c r="J38" s="919">
        <v>1135.969947</v>
      </c>
      <c r="K38" s="919"/>
      <c r="L38" s="919" t="s">
        <v>921</v>
      </c>
      <c r="M38" s="919">
        <v>81.822418999999996</v>
      </c>
      <c r="N38" s="921">
        <v>1217.803619</v>
      </c>
      <c r="O38" s="922">
        <v>27460.198013000001</v>
      </c>
      <c r="P38" s="919">
        <v>7524.3013620000002</v>
      </c>
      <c r="Q38" s="919">
        <v>21865.679929999998</v>
      </c>
      <c r="R38" s="919">
        <v>389.850593</v>
      </c>
      <c r="S38" s="919">
        <v>2625.078747</v>
      </c>
      <c r="T38" s="922">
        <v>24880.609270000001</v>
      </c>
      <c r="W38" s="916"/>
      <c r="X38" s="916"/>
      <c r="Y38" s="916"/>
      <c r="Z38" s="916"/>
      <c r="AA38" s="916"/>
      <c r="AB38" s="916"/>
      <c r="AC38" s="916"/>
      <c r="AD38" s="916"/>
      <c r="AE38" s="916"/>
      <c r="AF38" s="916"/>
      <c r="AG38" s="916"/>
      <c r="AH38" s="916"/>
    </row>
    <row r="39" spans="1:34" x14ac:dyDescent="0.25">
      <c r="A39" s="917" t="s">
        <v>954</v>
      </c>
      <c r="B39" s="918">
        <v>1294.179562</v>
      </c>
      <c r="C39" s="919">
        <v>74.723878999999997</v>
      </c>
      <c r="D39" s="920"/>
      <c r="E39" s="919">
        <v>675.14269100000001</v>
      </c>
      <c r="F39" s="919">
        <v>22.138383000000001</v>
      </c>
      <c r="G39" s="920"/>
      <c r="H39" s="919">
        <v>395.17886199999998</v>
      </c>
      <c r="I39" s="921">
        <v>2461.3633770000001</v>
      </c>
      <c r="J39" s="919"/>
      <c r="K39" s="919"/>
      <c r="L39" s="919"/>
      <c r="M39" s="919"/>
      <c r="N39" s="921"/>
      <c r="O39" s="922">
        <v>2461.3633770000001</v>
      </c>
      <c r="P39" s="919">
        <v>653.73648300000002</v>
      </c>
      <c r="Q39" s="919">
        <v>2031.799528</v>
      </c>
      <c r="R39" s="919" t="s">
        <v>921</v>
      </c>
      <c r="S39" s="919" t="s">
        <v>921</v>
      </c>
      <c r="T39" s="922">
        <v>2125.8620259999998</v>
      </c>
      <c r="W39" s="916"/>
      <c r="X39" s="916"/>
      <c r="Y39" s="916"/>
      <c r="Z39" s="916"/>
      <c r="AA39" s="916"/>
      <c r="AB39" s="916"/>
      <c r="AC39" s="916"/>
      <c r="AD39" s="916"/>
      <c r="AE39" s="916"/>
      <c r="AF39" s="916"/>
      <c r="AG39" s="916"/>
      <c r="AH39" s="916"/>
    </row>
    <row r="40" spans="1:34" x14ac:dyDescent="0.25">
      <c r="A40" s="917" t="s">
        <v>955</v>
      </c>
      <c r="B40" s="918">
        <v>2517.43012</v>
      </c>
      <c r="C40" s="919">
        <v>317.12214699999998</v>
      </c>
      <c r="D40" s="920"/>
      <c r="E40" s="919">
        <v>962.794263</v>
      </c>
      <c r="F40" s="919" t="s">
        <v>921</v>
      </c>
      <c r="G40" s="920"/>
      <c r="H40" s="919">
        <v>244.72720799999999</v>
      </c>
      <c r="I40" s="921">
        <v>4044.353298</v>
      </c>
      <c r="J40" s="919" t="s">
        <v>921</v>
      </c>
      <c r="K40" s="919"/>
      <c r="L40" s="919"/>
      <c r="M40" s="919"/>
      <c r="N40" s="921" t="s">
        <v>921</v>
      </c>
      <c r="O40" s="922">
        <v>4119.3221160000003</v>
      </c>
      <c r="P40" s="919">
        <v>1515.5562600000001</v>
      </c>
      <c r="Q40" s="919">
        <v>3440.2280260000002</v>
      </c>
      <c r="R40" s="919">
        <v>492.42298099999999</v>
      </c>
      <c r="S40" s="919"/>
      <c r="T40" s="922">
        <v>3932.6510069999999</v>
      </c>
      <c r="W40" s="916"/>
      <c r="X40" s="916"/>
      <c r="Y40" s="916"/>
      <c r="Z40" s="916"/>
      <c r="AA40" s="916"/>
      <c r="AB40" s="916"/>
      <c r="AC40" s="916"/>
      <c r="AD40" s="916"/>
      <c r="AE40" s="916"/>
      <c r="AF40" s="916"/>
      <c r="AG40" s="916"/>
      <c r="AH40" s="916"/>
    </row>
    <row r="41" spans="1:34" x14ac:dyDescent="0.25">
      <c r="A41" s="917" t="s">
        <v>956</v>
      </c>
      <c r="B41" s="918">
        <v>218.66178500000001</v>
      </c>
      <c r="C41" s="919" t="s">
        <v>921</v>
      </c>
      <c r="D41" s="920"/>
      <c r="E41" s="919">
        <v>134.203923</v>
      </c>
      <c r="F41" s="919" t="s">
        <v>921</v>
      </c>
      <c r="G41" s="920"/>
      <c r="H41" s="919">
        <v>86.917758000000006</v>
      </c>
      <c r="I41" s="921">
        <v>554.06772599999999</v>
      </c>
      <c r="J41" s="919" t="s">
        <v>921</v>
      </c>
      <c r="K41" s="919"/>
      <c r="L41" s="919"/>
      <c r="M41" s="919"/>
      <c r="N41" s="921" t="s">
        <v>921</v>
      </c>
      <c r="O41" s="922">
        <v>729.71370000000002</v>
      </c>
      <c r="P41" s="919">
        <v>484.33098999999999</v>
      </c>
      <c r="Q41" s="919">
        <v>663.16997200000003</v>
      </c>
      <c r="R41" s="919"/>
      <c r="S41" s="919"/>
      <c r="T41" s="922">
        <v>663.16997200000003</v>
      </c>
      <c r="W41" s="916"/>
      <c r="X41" s="916"/>
      <c r="Y41" s="916"/>
      <c r="Z41" s="916"/>
      <c r="AA41" s="916"/>
      <c r="AB41" s="916"/>
      <c r="AC41" s="916"/>
      <c r="AD41" s="916"/>
      <c r="AE41" s="916"/>
      <c r="AF41" s="916"/>
      <c r="AG41" s="916"/>
      <c r="AH41" s="916"/>
    </row>
    <row r="42" spans="1:34" x14ac:dyDescent="0.25">
      <c r="A42" s="917" t="s">
        <v>957</v>
      </c>
      <c r="B42" s="918">
        <v>1580.968883</v>
      </c>
      <c r="C42" s="919">
        <v>23.826082</v>
      </c>
      <c r="D42" s="920"/>
      <c r="E42" s="919">
        <v>477.15223900000001</v>
      </c>
      <c r="F42" s="919">
        <v>30.480779999999999</v>
      </c>
      <c r="G42" s="920"/>
      <c r="H42" s="919">
        <v>61.577311999999999</v>
      </c>
      <c r="I42" s="921">
        <v>2174.0052959999998</v>
      </c>
      <c r="J42" s="919">
        <v>137.469494</v>
      </c>
      <c r="K42" s="919"/>
      <c r="L42" s="919"/>
      <c r="M42" s="919"/>
      <c r="N42" s="921">
        <v>137.469494</v>
      </c>
      <c r="O42" s="922">
        <v>2311.4747900000002</v>
      </c>
      <c r="P42" s="919">
        <v>520.83855000000005</v>
      </c>
      <c r="Q42" s="919">
        <v>1753.3161359999999</v>
      </c>
      <c r="R42" s="919">
        <v>212.86257699999999</v>
      </c>
      <c r="S42" s="919" t="s">
        <v>921</v>
      </c>
      <c r="T42" s="922">
        <v>2004.1818800000001</v>
      </c>
      <c r="W42" s="916"/>
      <c r="X42" s="916"/>
      <c r="Y42" s="916"/>
      <c r="Z42" s="916"/>
      <c r="AA42" s="916"/>
      <c r="AB42" s="916"/>
      <c r="AC42" s="916"/>
      <c r="AD42" s="916"/>
      <c r="AE42" s="916"/>
      <c r="AF42" s="916"/>
      <c r="AG42" s="916"/>
      <c r="AH42" s="916"/>
    </row>
    <row r="43" spans="1:34" x14ac:dyDescent="0.25">
      <c r="A43" s="917" t="s">
        <v>958</v>
      </c>
      <c r="B43" s="918">
        <v>211.38575700000001</v>
      </c>
      <c r="C43" s="919" t="s">
        <v>921</v>
      </c>
      <c r="D43" s="920"/>
      <c r="E43" s="919">
        <v>68.805485000000004</v>
      </c>
      <c r="F43" s="919"/>
      <c r="G43" s="920"/>
      <c r="H43" s="919" t="s">
        <v>921</v>
      </c>
      <c r="I43" s="921">
        <v>297.90411899999998</v>
      </c>
      <c r="J43" s="919"/>
      <c r="K43" s="919"/>
      <c r="L43" s="919"/>
      <c r="M43" s="919"/>
      <c r="N43" s="921"/>
      <c r="O43" s="922">
        <v>297.90411899999998</v>
      </c>
      <c r="P43" s="919">
        <v>23.820437999999999</v>
      </c>
      <c r="Q43" s="919">
        <v>251.885783</v>
      </c>
      <c r="R43" s="919"/>
      <c r="S43" s="919"/>
      <c r="T43" s="922">
        <v>251.885783</v>
      </c>
      <c r="W43" s="916"/>
      <c r="X43" s="916"/>
      <c r="Y43" s="916"/>
      <c r="Z43" s="916"/>
      <c r="AA43" s="916"/>
      <c r="AB43" s="916"/>
      <c r="AC43" s="916"/>
      <c r="AD43" s="916"/>
      <c r="AE43" s="916"/>
      <c r="AF43" s="916"/>
      <c r="AG43" s="916"/>
      <c r="AH43" s="916"/>
    </row>
    <row r="44" spans="1:34" x14ac:dyDescent="0.25">
      <c r="A44" s="917" t="s">
        <v>959</v>
      </c>
      <c r="B44" s="918">
        <v>369.82509099999999</v>
      </c>
      <c r="C44" s="919"/>
      <c r="D44" s="920"/>
      <c r="E44" s="919">
        <v>33.737653000000002</v>
      </c>
      <c r="F44" s="919"/>
      <c r="G44" s="920"/>
      <c r="H44" s="919"/>
      <c r="I44" s="921">
        <v>403.56274400000001</v>
      </c>
      <c r="J44" s="919"/>
      <c r="K44" s="919"/>
      <c r="L44" s="919"/>
      <c r="M44" s="919"/>
      <c r="N44" s="921"/>
      <c r="O44" s="922">
        <v>403.56274400000001</v>
      </c>
      <c r="P44" s="919">
        <v>149.02358599999999</v>
      </c>
      <c r="Q44" s="919">
        <v>364.64587399999999</v>
      </c>
      <c r="R44" s="919"/>
      <c r="S44" s="919"/>
      <c r="T44" s="922">
        <v>364.64587399999999</v>
      </c>
      <c r="W44" s="916"/>
      <c r="X44" s="916"/>
      <c r="Y44" s="916"/>
      <c r="Z44" s="916"/>
      <c r="AA44" s="916"/>
      <c r="AB44" s="916"/>
      <c r="AC44" s="916"/>
      <c r="AD44" s="916"/>
      <c r="AE44" s="916"/>
      <c r="AF44" s="916"/>
      <c r="AG44" s="916"/>
      <c r="AH44" s="916"/>
    </row>
    <row r="45" spans="1:34" x14ac:dyDescent="0.25">
      <c r="A45" s="917" t="s">
        <v>960</v>
      </c>
      <c r="B45" s="918">
        <v>1358.4411930000001</v>
      </c>
      <c r="C45" s="919">
        <v>137.631362</v>
      </c>
      <c r="D45" s="920"/>
      <c r="E45" s="919">
        <v>977.33390599999996</v>
      </c>
      <c r="F45" s="919">
        <v>51.159970000000001</v>
      </c>
      <c r="G45" s="920"/>
      <c r="H45" s="919">
        <v>204.06429900000001</v>
      </c>
      <c r="I45" s="921">
        <v>2728.6307299999999</v>
      </c>
      <c r="J45" s="919"/>
      <c r="K45" s="919"/>
      <c r="L45" s="919"/>
      <c r="M45" s="919"/>
      <c r="N45" s="921"/>
      <c r="O45" s="922">
        <v>2728.6307299999999</v>
      </c>
      <c r="P45" s="919">
        <v>1195.584893</v>
      </c>
      <c r="Q45" s="919">
        <v>2212.1319060000001</v>
      </c>
      <c r="R45" s="919">
        <v>158.65734800000001</v>
      </c>
      <c r="S45" s="919">
        <v>270.27721600000001</v>
      </c>
      <c r="T45" s="922">
        <v>2641.0664700000002</v>
      </c>
      <c r="W45" s="916"/>
      <c r="X45" s="916"/>
      <c r="Y45" s="916"/>
      <c r="Z45" s="916"/>
      <c r="AA45" s="916"/>
      <c r="AB45" s="916"/>
      <c r="AC45" s="916"/>
      <c r="AD45" s="916"/>
      <c r="AE45" s="916"/>
      <c r="AF45" s="916"/>
      <c r="AG45" s="916"/>
      <c r="AH45" s="916"/>
    </row>
    <row r="46" spans="1:34" x14ac:dyDescent="0.25">
      <c r="A46" s="926" t="s">
        <v>961</v>
      </c>
      <c r="B46" s="918">
        <v>651.00884799999994</v>
      </c>
      <c r="C46" s="919"/>
      <c r="D46" s="920"/>
      <c r="E46" s="919">
        <v>210.28285</v>
      </c>
      <c r="F46" s="919">
        <v>162.14111700000001</v>
      </c>
      <c r="G46" s="920"/>
      <c r="H46" s="919">
        <v>163.52213599999999</v>
      </c>
      <c r="I46" s="921">
        <v>1186.9549509999999</v>
      </c>
      <c r="J46" s="919"/>
      <c r="K46" s="919"/>
      <c r="L46" s="919"/>
      <c r="M46" s="919"/>
      <c r="N46" s="921"/>
      <c r="O46" s="922">
        <v>1186.9549509999999</v>
      </c>
      <c r="P46" s="919">
        <v>395.57316300000002</v>
      </c>
      <c r="Q46" s="919">
        <v>1152.538589</v>
      </c>
      <c r="R46" s="919"/>
      <c r="S46" s="919"/>
      <c r="T46" s="922">
        <v>1152.538589</v>
      </c>
      <c r="W46" s="916"/>
      <c r="X46" s="916"/>
      <c r="Y46" s="916"/>
      <c r="Z46" s="916"/>
      <c r="AA46" s="916"/>
      <c r="AB46" s="916"/>
      <c r="AC46" s="916"/>
      <c r="AD46" s="916"/>
      <c r="AE46" s="916"/>
      <c r="AF46" s="916"/>
      <c r="AG46" s="916"/>
      <c r="AH46" s="916"/>
    </row>
    <row r="47" spans="1:34" s="916" customFormat="1" x14ac:dyDescent="0.25">
      <c r="A47" s="927" t="s">
        <v>962</v>
      </c>
      <c r="B47" s="923">
        <v>168.03027800000001</v>
      </c>
      <c r="C47" s="924"/>
      <c r="D47" s="925"/>
      <c r="E47" s="924"/>
      <c r="F47" s="924"/>
      <c r="G47" s="925"/>
      <c r="H47" s="924">
        <v>5.3161630000000004</v>
      </c>
      <c r="I47" s="914">
        <v>173.346441</v>
      </c>
      <c r="J47" s="924"/>
      <c r="K47" s="924"/>
      <c r="L47" s="924"/>
      <c r="M47" s="924"/>
      <c r="N47" s="914"/>
      <c r="O47" s="914">
        <v>173.346441</v>
      </c>
      <c r="P47" s="924">
        <v>8.6493450000000003</v>
      </c>
      <c r="Q47" s="924">
        <v>163.570548</v>
      </c>
      <c r="R47" s="924"/>
      <c r="S47" s="924"/>
      <c r="T47" s="914">
        <v>163.570548</v>
      </c>
    </row>
    <row r="48" spans="1:34" s="933" customFormat="1" ht="15.75" thickBot="1" x14ac:dyDescent="0.3">
      <c r="A48" s="928" t="s">
        <v>116</v>
      </c>
      <c r="B48" s="929">
        <v>235357.313379</v>
      </c>
      <c r="C48" s="930">
        <v>10341.748564</v>
      </c>
      <c r="D48" s="931">
        <v>94.100702999999996</v>
      </c>
      <c r="E48" s="930">
        <v>76159.531883000003</v>
      </c>
      <c r="F48" s="930">
        <v>5987.6623229999996</v>
      </c>
      <c r="G48" s="931">
        <v>42.703772000000001</v>
      </c>
      <c r="H48" s="930">
        <v>26316.243352000001</v>
      </c>
      <c r="I48" s="932">
        <v>354162.49950099998</v>
      </c>
      <c r="J48" s="930">
        <v>6228.658668</v>
      </c>
      <c r="K48" s="930">
        <v>0</v>
      </c>
      <c r="L48" s="930">
        <v>0.98586099999999999</v>
      </c>
      <c r="M48" s="930">
        <v>315.71375</v>
      </c>
      <c r="N48" s="932">
        <v>6545.358279</v>
      </c>
      <c r="O48" s="932">
        <v>360707.85778000002</v>
      </c>
      <c r="P48" s="930">
        <v>88893.747797000004</v>
      </c>
      <c r="Q48" s="930">
        <v>294792.16494400002</v>
      </c>
      <c r="R48" s="930">
        <v>18721.976715000001</v>
      </c>
      <c r="S48" s="930">
        <v>14093.938404</v>
      </c>
      <c r="T48" s="932">
        <v>327608.08006299997</v>
      </c>
      <c r="W48" s="934"/>
      <c r="X48" s="916"/>
      <c r="Y48" s="916"/>
      <c r="Z48" s="916"/>
      <c r="AA48" s="916"/>
      <c r="AB48" s="916"/>
      <c r="AC48" s="916"/>
      <c r="AD48" s="916"/>
      <c r="AE48" s="916"/>
      <c r="AF48" s="916"/>
      <c r="AG48" s="916"/>
      <c r="AH48" s="916"/>
    </row>
    <row r="49" spans="1:34" ht="15.75" thickTop="1" x14ac:dyDescent="0.25">
      <c r="A49" s="935" t="s">
        <v>963</v>
      </c>
      <c r="B49" s="918">
        <v>74.825322999999997</v>
      </c>
      <c r="C49" s="919" t="s">
        <v>921</v>
      </c>
      <c r="D49" s="920"/>
      <c r="E49" s="919">
        <v>226.238686</v>
      </c>
      <c r="F49" s="919">
        <v>116.753361</v>
      </c>
      <c r="G49" s="920"/>
      <c r="H49" s="919">
        <v>22.112024000000002</v>
      </c>
      <c r="I49" s="936">
        <v>442.17947400000003</v>
      </c>
      <c r="J49" s="919"/>
      <c r="K49" s="919"/>
      <c r="L49" s="919"/>
      <c r="M49" s="919"/>
      <c r="N49" s="936"/>
      <c r="O49" s="937">
        <v>442.17947400000003</v>
      </c>
      <c r="P49" s="919">
        <v>170.48808199999999</v>
      </c>
      <c r="Q49" s="919">
        <v>219.68456</v>
      </c>
      <c r="R49" s="919" t="s">
        <v>921</v>
      </c>
      <c r="S49" s="919">
        <v>118.271871</v>
      </c>
      <c r="T49" s="937">
        <v>382.95643100000001</v>
      </c>
      <c r="W49" s="916"/>
      <c r="X49" s="916"/>
      <c r="Y49" s="916"/>
      <c r="Z49" s="916"/>
      <c r="AA49" s="916"/>
      <c r="AB49" s="916"/>
      <c r="AC49" s="916"/>
      <c r="AD49" s="916"/>
      <c r="AE49" s="916"/>
      <c r="AF49" s="916"/>
      <c r="AG49" s="916"/>
      <c r="AH49" s="916"/>
    </row>
    <row r="50" spans="1:34" x14ac:dyDescent="0.25">
      <c r="A50" s="938" t="s">
        <v>964</v>
      </c>
      <c r="B50" s="918" t="s">
        <v>921</v>
      </c>
      <c r="C50" s="919"/>
      <c r="D50" s="920"/>
      <c r="E50" s="919">
        <v>179.19934000000001</v>
      </c>
      <c r="F50" s="919"/>
      <c r="G50" s="920"/>
      <c r="H50" s="919"/>
      <c r="I50" s="936">
        <v>344.39257600000002</v>
      </c>
      <c r="J50" s="919"/>
      <c r="K50" s="919"/>
      <c r="L50" s="919"/>
      <c r="M50" s="919"/>
      <c r="N50" s="936"/>
      <c r="O50" s="937">
        <v>344.39257600000002</v>
      </c>
      <c r="P50" s="919" t="s">
        <v>921</v>
      </c>
      <c r="Q50" s="919" t="s">
        <v>921</v>
      </c>
      <c r="R50" s="919"/>
      <c r="S50" s="919"/>
      <c r="T50" s="937" t="s">
        <v>921</v>
      </c>
      <c r="W50" s="916"/>
      <c r="X50" s="916"/>
      <c r="Y50" s="916"/>
      <c r="Z50" s="916"/>
      <c r="AA50" s="916"/>
      <c r="AB50" s="916"/>
      <c r="AC50" s="916"/>
      <c r="AD50" s="916"/>
      <c r="AE50" s="916"/>
      <c r="AF50" s="916"/>
      <c r="AG50" s="916"/>
      <c r="AH50" s="916"/>
    </row>
    <row r="51" spans="1:34" x14ac:dyDescent="0.25">
      <c r="A51" s="938" t="s">
        <v>965</v>
      </c>
      <c r="B51" s="918" t="s">
        <v>921</v>
      </c>
      <c r="C51" s="919"/>
      <c r="D51" s="920"/>
      <c r="E51" s="919"/>
      <c r="F51" s="919"/>
      <c r="G51" s="920"/>
      <c r="H51" s="919"/>
      <c r="I51" s="936" t="s">
        <v>921</v>
      </c>
      <c r="J51" s="919"/>
      <c r="K51" s="919"/>
      <c r="L51" s="919"/>
      <c r="M51" s="919"/>
      <c r="N51" s="936"/>
      <c r="O51" s="937" t="s">
        <v>921</v>
      </c>
      <c r="P51" s="919" t="s">
        <v>921</v>
      </c>
      <c r="Q51" s="919" t="s">
        <v>921</v>
      </c>
      <c r="R51" s="919"/>
      <c r="S51" s="919"/>
      <c r="T51" s="937" t="s">
        <v>921</v>
      </c>
      <c r="W51" s="916"/>
      <c r="X51" s="916"/>
      <c r="Y51" s="916"/>
      <c r="Z51" s="916"/>
      <c r="AA51" s="916"/>
      <c r="AB51" s="916"/>
      <c r="AC51" s="916"/>
      <c r="AD51" s="916"/>
      <c r="AE51" s="916"/>
      <c r="AF51" s="916"/>
      <c r="AG51" s="916"/>
      <c r="AH51" s="916"/>
    </row>
    <row r="52" spans="1:34" x14ac:dyDescent="0.25">
      <c r="A52" s="938" t="s">
        <v>966</v>
      </c>
      <c r="B52" s="918">
        <v>67.134660999999994</v>
      </c>
      <c r="C52" s="919"/>
      <c r="D52" s="920"/>
      <c r="E52" s="919" t="s">
        <v>921</v>
      </c>
      <c r="F52" s="919" t="s">
        <v>921</v>
      </c>
      <c r="G52" s="920"/>
      <c r="H52" s="919">
        <v>33.617066999999999</v>
      </c>
      <c r="I52" s="936">
        <v>118.975925</v>
      </c>
      <c r="J52" s="919"/>
      <c r="K52" s="919"/>
      <c r="L52" s="919"/>
      <c r="M52" s="919"/>
      <c r="N52" s="936"/>
      <c r="O52" s="937">
        <v>118.975925</v>
      </c>
      <c r="P52" s="919">
        <v>86.386829000000006</v>
      </c>
      <c r="Q52" s="919">
        <v>118.975925</v>
      </c>
      <c r="R52" s="919"/>
      <c r="S52" s="919"/>
      <c r="T52" s="937">
        <v>118.975925</v>
      </c>
      <c r="W52" s="916"/>
      <c r="X52" s="916"/>
      <c r="Y52" s="916"/>
      <c r="Z52" s="916"/>
      <c r="AA52" s="916"/>
      <c r="AB52" s="916"/>
      <c r="AC52" s="916"/>
      <c r="AD52" s="916"/>
      <c r="AE52" s="916"/>
      <c r="AF52" s="916"/>
      <c r="AG52" s="916"/>
      <c r="AH52" s="916"/>
    </row>
    <row r="53" spans="1:34" x14ac:dyDescent="0.25">
      <c r="A53" s="938" t="s">
        <v>967</v>
      </c>
      <c r="B53" s="918">
        <v>10.277289</v>
      </c>
      <c r="C53" s="919">
        <v>56.852915000000003</v>
      </c>
      <c r="D53" s="920"/>
      <c r="E53" s="919">
        <v>153.92462</v>
      </c>
      <c r="F53" s="919"/>
      <c r="G53" s="920"/>
      <c r="H53" s="919"/>
      <c r="I53" s="936">
        <v>221.054824</v>
      </c>
      <c r="J53" s="919"/>
      <c r="K53" s="919"/>
      <c r="L53" s="919" t="s">
        <v>921</v>
      </c>
      <c r="M53" s="919"/>
      <c r="N53" s="936" t="s">
        <v>921</v>
      </c>
      <c r="O53" s="937">
        <v>221.07331099999999</v>
      </c>
      <c r="P53" s="919" t="s">
        <v>921</v>
      </c>
      <c r="Q53" s="919">
        <v>193.03922800000001</v>
      </c>
      <c r="R53" s="919" t="s">
        <v>921</v>
      </c>
      <c r="S53" s="919"/>
      <c r="T53" s="937">
        <v>218.86956499999999</v>
      </c>
      <c r="W53" s="916"/>
      <c r="X53" s="916"/>
      <c r="Y53" s="916"/>
      <c r="Z53" s="916"/>
      <c r="AA53" s="916"/>
      <c r="AB53" s="916"/>
      <c r="AC53" s="916"/>
      <c r="AD53" s="916"/>
      <c r="AE53" s="916"/>
      <c r="AF53" s="916"/>
      <c r="AG53" s="916"/>
      <c r="AH53" s="916"/>
    </row>
    <row r="54" spans="1:34" x14ac:dyDescent="0.25">
      <c r="A54" s="938" t="s">
        <v>968</v>
      </c>
      <c r="B54" s="918">
        <v>163.902084</v>
      </c>
      <c r="C54" s="919" t="s">
        <v>921</v>
      </c>
      <c r="D54" s="920"/>
      <c r="E54" s="919" t="s">
        <v>921</v>
      </c>
      <c r="F54" s="919"/>
      <c r="G54" s="920"/>
      <c r="H54" s="919" t="s">
        <v>921</v>
      </c>
      <c r="I54" s="936">
        <v>230.40995000000001</v>
      </c>
      <c r="J54" s="919"/>
      <c r="K54" s="919"/>
      <c r="L54" s="919"/>
      <c r="M54" s="919"/>
      <c r="N54" s="936"/>
      <c r="O54" s="937">
        <v>230.40995000000001</v>
      </c>
      <c r="P54" s="919" t="s">
        <v>921</v>
      </c>
      <c r="Q54" s="919">
        <v>230.33447200000001</v>
      </c>
      <c r="R54" s="919"/>
      <c r="S54" s="919"/>
      <c r="T54" s="937">
        <v>230.33447200000001</v>
      </c>
      <c r="W54" s="916"/>
      <c r="X54" s="916"/>
      <c r="Y54" s="916"/>
      <c r="Z54" s="916"/>
      <c r="AA54" s="916"/>
      <c r="AB54" s="916"/>
      <c r="AC54" s="916"/>
      <c r="AD54" s="916"/>
      <c r="AE54" s="916"/>
      <c r="AF54" s="916"/>
      <c r="AG54" s="916"/>
      <c r="AH54" s="916"/>
    </row>
    <row r="55" spans="1:34" x14ac:dyDescent="0.25">
      <c r="A55" s="938" t="s">
        <v>969</v>
      </c>
      <c r="B55" s="918"/>
      <c r="C55" s="919"/>
      <c r="D55" s="920"/>
      <c r="E55" s="919"/>
      <c r="F55" s="919"/>
      <c r="G55" s="920"/>
      <c r="H55" s="919"/>
      <c r="I55" s="936"/>
      <c r="J55" s="919"/>
      <c r="K55" s="919"/>
      <c r="L55" s="919"/>
      <c r="M55" s="919"/>
      <c r="N55" s="936"/>
      <c r="O55" s="937"/>
      <c r="P55" s="919"/>
      <c r="Q55" s="919"/>
      <c r="R55" s="919"/>
      <c r="S55" s="919"/>
      <c r="T55" s="937"/>
      <c r="W55" s="916"/>
      <c r="X55" s="916"/>
      <c r="Y55" s="916"/>
      <c r="Z55" s="916"/>
      <c r="AA55" s="916"/>
      <c r="AB55" s="916"/>
      <c r="AC55" s="916"/>
      <c r="AD55" s="916"/>
      <c r="AE55" s="916"/>
      <c r="AF55" s="916"/>
      <c r="AG55" s="916"/>
      <c r="AH55" s="916"/>
    </row>
    <row r="56" spans="1:34" x14ac:dyDescent="0.25">
      <c r="A56" s="938" t="s">
        <v>970</v>
      </c>
      <c r="B56" s="918">
        <v>55.178953</v>
      </c>
      <c r="C56" s="919"/>
      <c r="D56" s="920"/>
      <c r="E56" s="919">
        <v>64.602455000000006</v>
      </c>
      <c r="F56" s="919"/>
      <c r="G56" s="920"/>
      <c r="H56" s="919" t="s">
        <v>921</v>
      </c>
      <c r="I56" s="936">
        <v>121.77644600000001</v>
      </c>
      <c r="J56" s="919"/>
      <c r="K56" s="919"/>
      <c r="L56" s="919"/>
      <c r="M56" s="919"/>
      <c r="N56" s="936"/>
      <c r="O56" s="937">
        <v>121.77644600000001</v>
      </c>
      <c r="P56" s="919">
        <v>37.758833000000003</v>
      </c>
      <c r="Q56" s="919">
        <v>99.325006000000002</v>
      </c>
      <c r="R56" s="919"/>
      <c r="S56" s="919"/>
      <c r="T56" s="937">
        <v>99.325006000000002</v>
      </c>
      <c r="W56" s="916"/>
      <c r="X56" s="916"/>
      <c r="Y56" s="916"/>
      <c r="Z56" s="916"/>
      <c r="AA56" s="916"/>
      <c r="AB56" s="916"/>
      <c r="AC56" s="916"/>
      <c r="AD56" s="916"/>
      <c r="AE56" s="916"/>
      <c r="AF56" s="916"/>
      <c r="AG56" s="916"/>
      <c r="AH56" s="916"/>
    </row>
    <row r="57" spans="1:34" x14ac:dyDescent="0.25">
      <c r="A57" s="938" t="s">
        <v>971</v>
      </c>
      <c r="B57" s="918">
        <v>188.88081600000001</v>
      </c>
      <c r="C57" s="919"/>
      <c r="D57" s="920"/>
      <c r="E57" s="919"/>
      <c r="F57" s="919"/>
      <c r="G57" s="920"/>
      <c r="H57" s="919"/>
      <c r="I57" s="936">
        <v>188.88081600000001</v>
      </c>
      <c r="J57" s="919"/>
      <c r="K57" s="919"/>
      <c r="L57" s="919"/>
      <c r="M57" s="919"/>
      <c r="N57" s="936"/>
      <c r="O57" s="937">
        <v>188.88081600000001</v>
      </c>
      <c r="P57" s="919"/>
      <c r="Q57" s="919">
        <v>188.88081600000001</v>
      </c>
      <c r="R57" s="919"/>
      <c r="S57" s="919"/>
      <c r="T57" s="937">
        <v>188.88081600000001</v>
      </c>
      <c r="W57" s="916"/>
      <c r="X57" s="916"/>
      <c r="Y57" s="916"/>
      <c r="Z57" s="916"/>
      <c r="AA57" s="916"/>
      <c r="AB57" s="916"/>
      <c r="AC57" s="916"/>
      <c r="AD57" s="916"/>
      <c r="AE57" s="916"/>
      <c r="AF57" s="916"/>
      <c r="AG57" s="916"/>
      <c r="AH57" s="916"/>
    </row>
    <row r="58" spans="1:34" x14ac:dyDescent="0.25">
      <c r="A58" s="938" t="s">
        <v>972</v>
      </c>
      <c r="B58" s="918">
        <v>327.76814300000001</v>
      </c>
      <c r="C58" s="919">
        <v>204.90642700000001</v>
      </c>
      <c r="D58" s="920"/>
      <c r="E58" s="919">
        <v>469.686734</v>
      </c>
      <c r="F58" s="919"/>
      <c r="G58" s="920"/>
      <c r="H58" s="919">
        <v>36.235137999999999</v>
      </c>
      <c r="I58" s="936">
        <v>1038.596442</v>
      </c>
      <c r="J58" s="919"/>
      <c r="K58" s="919"/>
      <c r="L58" s="919"/>
      <c r="M58" s="919"/>
      <c r="N58" s="936"/>
      <c r="O58" s="937">
        <v>1038.596442</v>
      </c>
      <c r="P58" s="919">
        <v>257.777694</v>
      </c>
      <c r="Q58" s="919">
        <v>508.99743699999999</v>
      </c>
      <c r="R58" s="919">
        <v>453.75260200000002</v>
      </c>
      <c r="S58" s="919" t="s">
        <v>921</v>
      </c>
      <c r="T58" s="937">
        <v>1005.239436</v>
      </c>
      <c r="W58" s="916"/>
      <c r="X58" s="916"/>
      <c r="Y58" s="916"/>
      <c r="Z58" s="916"/>
      <c r="AA58" s="916"/>
      <c r="AB58" s="916"/>
      <c r="AC58" s="916"/>
      <c r="AD58" s="916"/>
      <c r="AE58" s="916"/>
      <c r="AF58" s="916"/>
      <c r="AG58" s="916"/>
      <c r="AH58" s="916"/>
    </row>
    <row r="59" spans="1:34" x14ac:dyDescent="0.25">
      <c r="A59" s="938" t="s">
        <v>973</v>
      </c>
      <c r="B59" s="918" t="s">
        <v>921</v>
      </c>
      <c r="C59" s="919" t="s">
        <v>921</v>
      </c>
      <c r="D59" s="920"/>
      <c r="E59" s="919" t="s">
        <v>921</v>
      </c>
      <c r="F59" s="919"/>
      <c r="G59" s="920"/>
      <c r="H59" s="919" t="s">
        <v>921</v>
      </c>
      <c r="I59" s="936">
        <v>30.645623000000001</v>
      </c>
      <c r="J59" s="919"/>
      <c r="K59" s="919"/>
      <c r="L59" s="919"/>
      <c r="M59" s="919"/>
      <c r="N59" s="936"/>
      <c r="O59" s="937">
        <v>30.645623000000001</v>
      </c>
      <c r="P59" s="919">
        <v>20.641594999999999</v>
      </c>
      <c r="Q59" s="919">
        <v>30.645623000000001</v>
      </c>
      <c r="R59" s="919"/>
      <c r="S59" s="919"/>
      <c r="T59" s="937">
        <v>30.645623000000001</v>
      </c>
      <c r="W59" s="916"/>
      <c r="X59" s="916"/>
      <c r="Y59" s="916"/>
      <c r="Z59" s="916"/>
      <c r="AA59" s="916"/>
      <c r="AB59" s="916"/>
      <c r="AC59" s="916"/>
      <c r="AD59" s="916"/>
      <c r="AE59" s="916"/>
      <c r="AF59" s="916"/>
      <c r="AG59" s="916"/>
      <c r="AH59" s="916"/>
    </row>
    <row r="60" spans="1:34" x14ac:dyDescent="0.25">
      <c r="A60" s="938" t="s">
        <v>974</v>
      </c>
      <c r="B60" s="918">
        <v>62.371431000000001</v>
      </c>
      <c r="C60" s="919" t="s">
        <v>921</v>
      </c>
      <c r="D60" s="920"/>
      <c r="E60" s="919">
        <v>62.277816000000001</v>
      </c>
      <c r="F60" s="919"/>
      <c r="G60" s="920"/>
      <c r="H60" s="919" t="s">
        <v>921</v>
      </c>
      <c r="I60" s="936">
        <v>125.693241</v>
      </c>
      <c r="J60" s="919"/>
      <c r="K60" s="919"/>
      <c r="L60" s="919"/>
      <c r="M60" s="919"/>
      <c r="N60" s="936"/>
      <c r="O60" s="937">
        <v>125.693241</v>
      </c>
      <c r="P60" s="919" t="s">
        <v>921</v>
      </c>
      <c r="Q60" s="919">
        <v>114.75948200000001</v>
      </c>
      <c r="R60" s="919"/>
      <c r="S60" s="919"/>
      <c r="T60" s="937">
        <v>114.75948200000001</v>
      </c>
      <c r="W60" s="916"/>
      <c r="X60" s="916"/>
      <c r="Y60" s="916"/>
      <c r="Z60" s="916"/>
      <c r="AA60" s="916"/>
      <c r="AB60" s="916"/>
      <c r="AC60" s="916"/>
      <c r="AD60" s="916"/>
      <c r="AE60" s="916"/>
      <c r="AF60" s="916"/>
      <c r="AG60" s="916"/>
      <c r="AH60" s="916"/>
    </row>
    <row r="61" spans="1:34" x14ac:dyDescent="0.25">
      <c r="A61" s="938" t="s">
        <v>975</v>
      </c>
      <c r="B61" s="918">
        <v>311.95511499999998</v>
      </c>
      <c r="C61" s="919" t="s">
        <v>921</v>
      </c>
      <c r="D61" s="920"/>
      <c r="E61" s="919" t="s">
        <v>921</v>
      </c>
      <c r="F61" s="919"/>
      <c r="G61" s="920"/>
      <c r="H61" s="919"/>
      <c r="I61" s="936">
        <v>516.57131600000002</v>
      </c>
      <c r="J61" s="919"/>
      <c r="K61" s="919"/>
      <c r="L61" s="919"/>
      <c r="M61" s="919"/>
      <c r="N61" s="936"/>
      <c r="O61" s="937">
        <v>516.57131600000002</v>
      </c>
      <c r="P61" s="919">
        <v>311.81827099999998</v>
      </c>
      <c r="Q61" s="919"/>
      <c r="R61" s="919">
        <v>516.57131600000002</v>
      </c>
      <c r="S61" s="919"/>
      <c r="T61" s="937">
        <v>516.57131600000002</v>
      </c>
      <c r="W61" s="916"/>
      <c r="X61" s="916"/>
      <c r="Y61" s="916"/>
      <c r="Z61" s="916"/>
      <c r="AA61" s="916"/>
      <c r="AB61" s="916"/>
      <c r="AC61" s="916"/>
      <c r="AD61" s="916"/>
      <c r="AE61" s="916"/>
      <c r="AF61" s="916"/>
      <c r="AG61" s="916"/>
      <c r="AH61" s="916"/>
    </row>
    <row r="62" spans="1:34" x14ac:dyDescent="0.25">
      <c r="A62" s="938" t="s">
        <v>976</v>
      </c>
      <c r="B62" s="918" t="s">
        <v>921</v>
      </c>
      <c r="C62" s="919"/>
      <c r="D62" s="920"/>
      <c r="E62" s="919" t="s">
        <v>921</v>
      </c>
      <c r="F62" s="919"/>
      <c r="G62" s="920"/>
      <c r="H62" s="919" t="s">
        <v>921</v>
      </c>
      <c r="I62" s="936">
        <v>88.510571999999996</v>
      </c>
      <c r="J62" s="919"/>
      <c r="K62" s="919"/>
      <c r="L62" s="919"/>
      <c r="M62" s="919"/>
      <c r="N62" s="936"/>
      <c r="O62" s="937">
        <v>88.510571999999996</v>
      </c>
      <c r="P62" s="919" t="s">
        <v>921</v>
      </c>
      <c r="Q62" s="919">
        <v>32.734234000000001</v>
      </c>
      <c r="R62" s="919" t="s">
        <v>921</v>
      </c>
      <c r="S62" s="919"/>
      <c r="T62" s="937">
        <v>88.510571999999996</v>
      </c>
      <c r="W62" s="916"/>
      <c r="X62" s="916"/>
      <c r="Y62" s="916"/>
      <c r="Z62" s="916"/>
      <c r="AA62" s="916"/>
      <c r="AB62" s="916"/>
      <c r="AC62" s="916"/>
      <c r="AD62" s="916"/>
      <c r="AE62" s="916"/>
      <c r="AF62" s="916"/>
      <c r="AG62" s="916"/>
      <c r="AH62" s="916"/>
    </row>
    <row r="63" spans="1:34" x14ac:dyDescent="0.25">
      <c r="A63" s="938" t="s">
        <v>977</v>
      </c>
      <c r="B63" s="918">
        <v>418.14648199999999</v>
      </c>
      <c r="C63" s="919">
        <v>80.529543000000004</v>
      </c>
      <c r="D63" s="920"/>
      <c r="E63" s="919">
        <v>371.91227600000002</v>
      </c>
      <c r="F63" s="919"/>
      <c r="G63" s="920"/>
      <c r="H63" s="919">
        <v>30.761937</v>
      </c>
      <c r="I63" s="936">
        <v>901.35023799999999</v>
      </c>
      <c r="J63" s="919"/>
      <c r="K63" s="919"/>
      <c r="L63" s="919"/>
      <c r="M63" s="919"/>
      <c r="N63" s="936"/>
      <c r="O63" s="937">
        <v>901.35023799999999</v>
      </c>
      <c r="P63" s="919">
        <v>289.18325800000002</v>
      </c>
      <c r="Q63" s="919">
        <v>605.05733899999996</v>
      </c>
      <c r="R63" s="919">
        <v>141.64417299999999</v>
      </c>
      <c r="S63" s="919"/>
      <c r="T63" s="937">
        <v>746.70151199999998</v>
      </c>
      <c r="W63" s="916"/>
      <c r="X63" s="916"/>
      <c r="Y63" s="916"/>
      <c r="Z63" s="916"/>
      <c r="AA63" s="916"/>
      <c r="AB63" s="916"/>
      <c r="AC63" s="916"/>
      <c r="AD63" s="916"/>
      <c r="AE63" s="916"/>
      <c r="AF63" s="916"/>
      <c r="AG63" s="916"/>
      <c r="AH63" s="916"/>
    </row>
    <row r="64" spans="1:34" s="916" customFormat="1" x14ac:dyDescent="0.25">
      <c r="A64" s="910" t="s">
        <v>136</v>
      </c>
      <c r="B64" s="923">
        <v>379.11364700000001</v>
      </c>
      <c r="C64" s="924">
        <v>32.726080000000003</v>
      </c>
      <c r="D64" s="925"/>
      <c r="E64" s="924">
        <v>225.123436</v>
      </c>
      <c r="F64" s="924"/>
      <c r="G64" s="925"/>
      <c r="H64" s="924">
        <v>37.837085999999999</v>
      </c>
      <c r="I64" s="914">
        <v>674.80024900000001</v>
      </c>
      <c r="J64" s="924"/>
      <c r="K64" s="924"/>
      <c r="L64" s="924"/>
      <c r="M64" s="924"/>
      <c r="N64" s="914"/>
      <c r="O64" s="914">
        <v>674.80024900000001</v>
      </c>
      <c r="P64" s="924">
        <v>181.60262599999999</v>
      </c>
      <c r="Q64" s="924">
        <v>547.33000300000003</v>
      </c>
      <c r="R64" s="924" t="s">
        <v>921</v>
      </c>
      <c r="S64" s="924"/>
      <c r="T64" s="914">
        <v>661.00569099999996</v>
      </c>
    </row>
    <row r="65" spans="1:34" x14ac:dyDescent="0.25">
      <c r="A65" s="939" t="s">
        <v>978</v>
      </c>
      <c r="B65" s="918"/>
      <c r="C65" s="919"/>
      <c r="D65" s="920"/>
      <c r="E65" s="919"/>
      <c r="F65" s="919"/>
      <c r="G65" s="920"/>
      <c r="H65" s="919"/>
      <c r="I65" s="936"/>
      <c r="J65" s="919"/>
      <c r="K65" s="919"/>
      <c r="L65" s="919"/>
      <c r="M65" s="919"/>
      <c r="N65" s="936"/>
      <c r="O65" s="937"/>
      <c r="P65" s="919"/>
      <c r="Q65" s="919"/>
      <c r="R65" s="919"/>
      <c r="S65" s="919"/>
      <c r="T65" s="937"/>
      <c r="W65" s="916"/>
      <c r="X65" s="916"/>
      <c r="Y65" s="916"/>
      <c r="Z65" s="916"/>
      <c r="AA65" s="916"/>
      <c r="AB65" s="916"/>
      <c r="AC65" s="916"/>
      <c r="AD65" s="916"/>
      <c r="AE65" s="916"/>
      <c r="AF65" s="916"/>
      <c r="AG65" s="916"/>
      <c r="AH65" s="916"/>
    </row>
    <row r="66" spans="1:34" x14ac:dyDescent="0.25">
      <c r="A66" s="939" t="s">
        <v>979</v>
      </c>
      <c r="B66" s="918"/>
      <c r="C66" s="919"/>
      <c r="D66" s="920"/>
      <c r="E66" s="919"/>
      <c r="F66" s="919"/>
      <c r="G66" s="920"/>
      <c r="H66" s="919"/>
      <c r="I66" s="936"/>
      <c r="J66" s="919"/>
      <c r="K66" s="919"/>
      <c r="L66" s="919"/>
      <c r="M66" s="919"/>
      <c r="N66" s="936"/>
      <c r="O66" s="937"/>
      <c r="P66" s="919"/>
      <c r="Q66" s="919"/>
      <c r="R66" s="919"/>
      <c r="S66" s="919"/>
      <c r="T66" s="937"/>
      <c r="W66" s="916"/>
      <c r="X66" s="916"/>
      <c r="Y66" s="916"/>
      <c r="Z66" s="916"/>
      <c r="AA66" s="916"/>
      <c r="AB66" s="916"/>
      <c r="AC66" s="916"/>
      <c r="AD66" s="916"/>
      <c r="AE66" s="916"/>
      <c r="AF66" s="916"/>
      <c r="AG66" s="916"/>
      <c r="AH66" s="916"/>
    </row>
    <row r="67" spans="1:34" x14ac:dyDescent="0.25">
      <c r="A67" s="939" t="s">
        <v>980</v>
      </c>
      <c r="B67" s="918"/>
      <c r="C67" s="919"/>
      <c r="D67" s="920"/>
      <c r="E67" s="919"/>
      <c r="F67" s="919"/>
      <c r="G67" s="920"/>
      <c r="H67" s="919"/>
      <c r="I67" s="936"/>
      <c r="J67" s="919"/>
      <c r="K67" s="919"/>
      <c r="L67" s="919"/>
      <c r="M67" s="919"/>
      <c r="N67" s="936"/>
      <c r="O67" s="937"/>
      <c r="P67" s="919"/>
      <c r="Q67" s="919"/>
      <c r="R67" s="919"/>
      <c r="S67" s="919"/>
      <c r="T67" s="937"/>
      <c r="W67" s="916"/>
      <c r="X67" s="916"/>
      <c r="Y67" s="916"/>
      <c r="Z67" s="916"/>
      <c r="AA67" s="916"/>
      <c r="AB67" s="916"/>
      <c r="AC67" s="916"/>
      <c r="AD67" s="916"/>
      <c r="AE67" s="916"/>
      <c r="AF67" s="916"/>
      <c r="AG67" s="916"/>
      <c r="AH67" s="916"/>
    </row>
    <row r="68" spans="1:34" x14ac:dyDescent="0.25">
      <c r="A68" s="939" t="s">
        <v>981</v>
      </c>
      <c r="B68" s="918"/>
      <c r="C68" s="919"/>
      <c r="D68" s="920"/>
      <c r="E68" s="919"/>
      <c r="F68" s="919"/>
      <c r="G68" s="920"/>
      <c r="H68" s="919"/>
      <c r="I68" s="936"/>
      <c r="J68" s="919"/>
      <c r="K68" s="919"/>
      <c r="L68" s="919"/>
      <c r="M68" s="919"/>
      <c r="N68" s="936"/>
      <c r="O68" s="937"/>
      <c r="P68" s="919"/>
      <c r="Q68" s="919"/>
      <c r="R68" s="919"/>
      <c r="S68" s="919"/>
      <c r="T68" s="937"/>
      <c r="W68" s="916"/>
      <c r="X68" s="916"/>
      <c r="Y68" s="916"/>
      <c r="Z68" s="916"/>
      <c r="AA68" s="916"/>
      <c r="AB68" s="916"/>
      <c r="AC68" s="916"/>
      <c r="AD68" s="916"/>
      <c r="AE68" s="916"/>
      <c r="AF68" s="916"/>
      <c r="AG68" s="916"/>
      <c r="AH68" s="916"/>
    </row>
    <row r="69" spans="1:34" x14ac:dyDescent="0.25">
      <c r="A69" s="939" t="s">
        <v>982</v>
      </c>
      <c r="B69" s="918"/>
      <c r="C69" s="919"/>
      <c r="D69" s="920"/>
      <c r="E69" s="919"/>
      <c r="F69" s="919"/>
      <c r="G69" s="920"/>
      <c r="H69" s="919"/>
      <c r="I69" s="936"/>
      <c r="J69" s="919"/>
      <c r="K69" s="919"/>
      <c r="L69" s="919"/>
      <c r="M69" s="919"/>
      <c r="N69" s="936"/>
      <c r="O69" s="937"/>
      <c r="P69" s="919"/>
      <c r="Q69" s="919"/>
      <c r="R69" s="919"/>
      <c r="S69" s="919"/>
      <c r="T69" s="937"/>
      <c r="W69" s="916"/>
      <c r="X69" s="916"/>
      <c r="Y69" s="916"/>
      <c r="Z69" s="916"/>
      <c r="AA69" s="916"/>
      <c r="AB69" s="916"/>
      <c r="AC69" s="916"/>
      <c r="AD69" s="916"/>
      <c r="AE69" s="916"/>
      <c r="AF69" s="916"/>
      <c r="AG69" s="916"/>
      <c r="AH69" s="916"/>
    </row>
    <row r="70" spans="1:34" x14ac:dyDescent="0.25">
      <c r="A70" s="939" t="s">
        <v>983</v>
      </c>
      <c r="B70" s="918"/>
      <c r="C70" s="919"/>
      <c r="D70" s="920"/>
      <c r="E70" s="919" t="s">
        <v>921</v>
      </c>
      <c r="F70" s="919"/>
      <c r="G70" s="920"/>
      <c r="H70" s="919"/>
      <c r="I70" s="936" t="s">
        <v>921</v>
      </c>
      <c r="J70" s="919"/>
      <c r="K70" s="919"/>
      <c r="L70" s="919"/>
      <c r="M70" s="919"/>
      <c r="N70" s="936"/>
      <c r="O70" s="937" t="s">
        <v>921</v>
      </c>
      <c r="P70" s="919" t="s">
        <v>921</v>
      </c>
      <c r="Q70" s="919" t="s">
        <v>921</v>
      </c>
      <c r="R70" s="919"/>
      <c r="S70" s="919"/>
      <c r="T70" s="937" t="s">
        <v>921</v>
      </c>
      <c r="W70" s="916"/>
      <c r="X70" s="916"/>
      <c r="Y70" s="916"/>
      <c r="Z70" s="916"/>
      <c r="AA70" s="916"/>
      <c r="AB70" s="916"/>
      <c r="AC70" s="916"/>
      <c r="AD70" s="916"/>
      <c r="AE70" s="916"/>
      <c r="AF70" s="916"/>
      <c r="AG70" s="916"/>
      <c r="AH70" s="916"/>
    </row>
    <row r="71" spans="1:34" x14ac:dyDescent="0.25">
      <c r="A71" s="939" t="s">
        <v>984</v>
      </c>
      <c r="B71" s="918"/>
      <c r="C71" s="919"/>
      <c r="D71" s="920"/>
      <c r="E71" s="919"/>
      <c r="F71" s="919"/>
      <c r="G71" s="920"/>
      <c r="H71" s="919"/>
      <c r="I71" s="936"/>
      <c r="J71" s="919"/>
      <c r="K71" s="919"/>
      <c r="L71" s="919"/>
      <c r="M71" s="919"/>
      <c r="N71" s="936"/>
      <c r="O71" s="937"/>
      <c r="P71" s="919"/>
      <c r="Q71" s="919"/>
      <c r="R71" s="919"/>
      <c r="S71" s="919"/>
      <c r="T71" s="937"/>
      <c r="W71" s="916"/>
      <c r="X71" s="916"/>
      <c r="Y71" s="916"/>
      <c r="Z71" s="916"/>
      <c r="AA71" s="916"/>
      <c r="AB71" s="916"/>
      <c r="AC71" s="916"/>
      <c r="AD71" s="916"/>
      <c r="AE71" s="916"/>
      <c r="AF71" s="916"/>
      <c r="AG71" s="916"/>
      <c r="AH71" s="916"/>
    </row>
    <row r="72" spans="1:34" x14ac:dyDescent="0.25">
      <c r="A72" s="939" t="s">
        <v>985</v>
      </c>
      <c r="B72" s="918">
        <v>69.755230999999995</v>
      </c>
      <c r="C72" s="919">
        <v>26.264419</v>
      </c>
      <c r="D72" s="920"/>
      <c r="E72" s="919" t="s">
        <v>921</v>
      </c>
      <c r="F72" s="919"/>
      <c r="G72" s="920"/>
      <c r="H72" s="919" t="s">
        <v>921</v>
      </c>
      <c r="I72" s="936">
        <v>188.03032999999999</v>
      </c>
      <c r="J72" s="919"/>
      <c r="K72" s="919"/>
      <c r="L72" s="919"/>
      <c r="M72" s="919"/>
      <c r="N72" s="936"/>
      <c r="O72" s="937">
        <v>188.03032999999999</v>
      </c>
      <c r="P72" s="919">
        <v>7.5690860000000004</v>
      </c>
      <c r="Q72" s="919">
        <v>180.92824100000001</v>
      </c>
      <c r="R72" s="919"/>
      <c r="S72" s="919"/>
      <c r="T72" s="937">
        <v>180.92824100000001</v>
      </c>
      <c r="W72" s="916"/>
      <c r="X72" s="916"/>
      <c r="Y72" s="916"/>
      <c r="Z72" s="916"/>
      <c r="AA72" s="916"/>
      <c r="AB72" s="916"/>
      <c r="AC72" s="916"/>
      <c r="AD72" s="916"/>
      <c r="AE72" s="916"/>
      <c r="AF72" s="916"/>
      <c r="AG72" s="916"/>
      <c r="AH72" s="916"/>
    </row>
    <row r="73" spans="1:34" x14ac:dyDescent="0.25">
      <c r="A73" s="939" t="s">
        <v>986</v>
      </c>
      <c r="B73" s="918" t="s">
        <v>921</v>
      </c>
      <c r="C73" s="919"/>
      <c r="D73" s="920"/>
      <c r="E73" s="919" t="s">
        <v>921</v>
      </c>
      <c r="F73" s="919"/>
      <c r="G73" s="920"/>
      <c r="H73" s="919"/>
      <c r="I73" s="936">
        <v>43.998396</v>
      </c>
      <c r="J73" s="919"/>
      <c r="K73" s="919"/>
      <c r="L73" s="919"/>
      <c r="M73" s="919"/>
      <c r="N73" s="936"/>
      <c r="O73" s="937">
        <v>43.998396</v>
      </c>
      <c r="P73" s="919"/>
      <c r="Q73" s="919">
        <v>43.998396</v>
      </c>
      <c r="R73" s="919"/>
      <c r="S73" s="919"/>
      <c r="T73" s="937">
        <v>43.998396</v>
      </c>
      <c r="W73" s="916"/>
      <c r="X73" s="916"/>
      <c r="Y73" s="916"/>
      <c r="Z73" s="916"/>
      <c r="AA73" s="916"/>
      <c r="AB73" s="916"/>
      <c r="AC73" s="916"/>
      <c r="AD73" s="916"/>
      <c r="AE73" s="916"/>
      <c r="AF73" s="916"/>
      <c r="AG73" s="916"/>
      <c r="AH73" s="916"/>
    </row>
    <row r="74" spans="1:34" x14ac:dyDescent="0.25">
      <c r="A74" s="939" t="s">
        <v>987</v>
      </c>
      <c r="B74" s="918"/>
      <c r="C74" s="919"/>
      <c r="D74" s="920"/>
      <c r="E74" s="919"/>
      <c r="F74" s="919"/>
      <c r="G74" s="920"/>
      <c r="H74" s="919"/>
      <c r="I74" s="936"/>
      <c r="J74" s="919"/>
      <c r="K74" s="919"/>
      <c r="L74" s="919"/>
      <c r="M74" s="919"/>
      <c r="N74" s="936"/>
      <c r="O74" s="937"/>
      <c r="P74" s="919"/>
      <c r="Q74" s="919"/>
      <c r="R74" s="919"/>
      <c r="S74" s="919"/>
      <c r="T74" s="937"/>
      <c r="W74" s="916"/>
      <c r="X74" s="916"/>
      <c r="Y74" s="916"/>
      <c r="Z74" s="916"/>
      <c r="AA74" s="916"/>
      <c r="AB74" s="916"/>
      <c r="AC74" s="916"/>
      <c r="AD74" s="916"/>
      <c r="AE74" s="916"/>
      <c r="AF74" s="916"/>
      <c r="AG74" s="916"/>
      <c r="AH74" s="916"/>
    </row>
    <row r="75" spans="1:34" x14ac:dyDescent="0.25">
      <c r="A75" s="939" t="s">
        <v>988</v>
      </c>
      <c r="B75" s="918" t="s">
        <v>921</v>
      </c>
      <c r="C75" s="919" t="s">
        <v>921</v>
      </c>
      <c r="D75" s="920"/>
      <c r="E75" s="919" t="s">
        <v>921</v>
      </c>
      <c r="F75" s="919"/>
      <c r="G75" s="920"/>
      <c r="H75" s="919" t="s">
        <v>921</v>
      </c>
      <c r="I75" s="936">
        <v>84.110623000000004</v>
      </c>
      <c r="J75" s="919"/>
      <c r="K75" s="919"/>
      <c r="L75" s="919"/>
      <c r="M75" s="919"/>
      <c r="N75" s="936"/>
      <c r="O75" s="937">
        <v>84.110623000000004</v>
      </c>
      <c r="P75" s="919"/>
      <c r="Q75" s="919">
        <v>83.415881999999996</v>
      </c>
      <c r="R75" s="919" t="s">
        <v>921</v>
      </c>
      <c r="S75" s="919"/>
      <c r="T75" s="937">
        <v>84.110623000000004</v>
      </c>
      <c r="W75" s="916"/>
      <c r="X75" s="916"/>
      <c r="Y75" s="916"/>
      <c r="Z75" s="916"/>
      <c r="AA75" s="916"/>
      <c r="AB75" s="916"/>
      <c r="AC75" s="916"/>
      <c r="AD75" s="916"/>
      <c r="AE75" s="916"/>
      <c r="AF75" s="916"/>
      <c r="AG75" s="916"/>
      <c r="AH75" s="916"/>
    </row>
    <row r="76" spans="1:34" x14ac:dyDescent="0.25">
      <c r="A76" s="939" t="s">
        <v>989</v>
      </c>
      <c r="B76" s="918">
        <v>147.294228</v>
      </c>
      <c r="C76" s="919" t="s">
        <v>921</v>
      </c>
      <c r="D76" s="920"/>
      <c r="E76" s="919">
        <v>18.032726</v>
      </c>
      <c r="F76" s="919"/>
      <c r="G76" s="920"/>
      <c r="H76" s="919" t="s">
        <v>921</v>
      </c>
      <c r="I76" s="936">
        <v>173.887888</v>
      </c>
      <c r="J76" s="919"/>
      <c r="K76" s="919"/>
      <c r="L76" s="919"/>
      <c r="M76" s="919"/>
      <c r="N76" s="936"/>
      <c r="O76" s="937">
        <v>173.887888</v>
      </c>
      <c r="P76" s="919">
        <v>29.674626</v>
      </c>
      <c r="Q76" s="919">
        <v>54.214472000000001</v>
      </c>
      <c r="R76" s="919" t="s">
        <v>921</v>
      </c>
      <c r="S76" s="919"/>
      <c r="T76" s="937">
        <v>167.19541899999999</v>
      </c>
      <c r="W76" s="916"/>
      <c r="X76" s="916"/>
      <c r="Y76" s="916"/>
      <c r="Z76" s="916"/>
      <c r="AA76" s="916"/>
      <c r="AB76" s="916"/>
      <c r="AC76" s="916"/>
      <c r="AD76" s="916"/>
      <c r="AE76" s="916"/>
      <c r="AF76" s="916"/>
      <c r="AG76" s="916"/>
      <c r="AH76" s="916"/>
    </row>
    <row r="77" spans="1:34" x14ac:dyDescent="0.25">
      <c r="A77" s="939" t="s">
        <v>990</v>
      </c>
      <c r="B77" s="918"/>
      <c r="C77" s="919"/>
      <c r="D77" s="920"/>
      <c r="E77" s="919" t="s">
        <v>921</v>
      </c>
      <c r="F77" s="919"/>
      <c r="G77" s="920"/>
      <c r="H77" s="919"/>
      <c r="I77" s="936" t="s">
        <v>921</v>
      </c>
      <c r="J77" s="919"/>
      <c r="K77" s="919"/>
      <c r="L77" s="919"/>
      <c r="M77" s="919"/>
      <c r="N77" s="936"/>
      <c r="O77" s="937" t="s">
        <v>921</v>
      </c>
      <c r="P77" s="919"/>
      <c r="Q77" s="919" t="s">
        <v>921</v>
      </c>
      <c r="R77" s="919"/>
      <c r="S77" s="919"/>
      <c r="T77" s="937" t="s">
        <v>921</v>
      </c>
      <c r="W77" s="916"/>
      <c r="X77" s="916"/>
      <c r="Y77" s="916"/>
      <c r="Z77" s="916"/>
      <c r="AA77" s="916"/>
      <c r="AB77" s="916"/>
      <c r="AC77" s="916"/>
      <c r="AD77" s="916"/>
      <c r="AE77" s="916"/>
      <c r="AF77" s="916"/>
      <c r="AG77" s="916"/>
      <c r="AH77" s="916"/>
    </row>
    <row r="78" spans="1:34" x14ac:dyDescent="0.25">
      <c r="A78" s="939" t="s">
        <v>991</v>
      </c>
      <c r="B78" s="918"/>
      <c r="C78" s="919"/>
      <c r="D78" s="920"/>
      <c r="E78" s="919"/>
      <c r="F78" s="919"/>
      <c r="G78" s="920"/>
      <c r="H78" s="919"/>
      <c r="I78" s="936"/>
      <c r="J78" s="919"/>
      <c r="K78" s="919"/>
      <c r="L78" s="919"/>
      <c r="M78" s="919"/>
      <c r="N78" s="936"/>
      <c r="O78" s="937"/>
      <c r="P78" s="919"/>
      <c r="Q78" s="919"/>
      <c r="R78" s="919"/>
      <c r="S78" s="919"/>
      <c r="T78" s="937"/>
      <c r="W78" s="916"/>
      <c r="X78" s="916"/>
      <c r="Y78" s="916"/>
      <c r="Z78" s="916"/>
      <c r="AA78" s="916"/>
      <c r="AB78" s="916"/>
      <c r="AC78" s="916"/>
      <c r="AD78" s="916"/>
      <c r="AE78" s="916"/>
      <c r="AF78" s="916"/>
      <c r="AG78" s="916"/>
      <c r="AH78" s="916"/>
    </row>
    <row r="79" spans="1:34" x14ac:dyDescent="0.25">
      <c r="A79" s="939" t="s">
        <v>992</v>
      </c>
      <c r="B79" s="918" t="s">
        <v>921</v>
      </c>
      <c r="C79" s="919"/>
      <c r="D79" s="920"/>
      <c r="E79" s="919"/>
      <c r="F79" s="919"/>
      <c r="G79" s="920"/>
      <c r="H79" s="919"/>
      <c r="I79" s="936" t="s">
        <v>921</v>
      </c>
      <c r="J79" s="919"/>
      <c r="K79" s="919"/>
      <c r="L79" s="919"/>
      <c r="M79" s="919"/>
      <c r="N79" s="936"/>
      <c r="O79" s="937" t="s">
        <v>921</v>
      </c>
      <c r="P79" s="919" t="s">
        <v>921</v>
      </c>
      <c r="Q79" s="919" t="s">
        <v>921</v>
      </c>
      <c r="R79" s="919"/>
      <c r="S79" s="919"/>
      <c r="T79" s="937" t="s">
        <v>921</v>
      </c>
      <c r="W79" s="916"/>
      <c r="X79" s="916"/>
      <c r="Y79" s="916"/>
      <c r="Z79" s="916"/>
      <c r="AA79" s="916"/>
      <c r="AB79" s="916"/>
      <c r="AC79" s="916"/>
      <c r="AD79" s="916"/>
      <c r="AE79" s="916"/>
      <c r="AF79" s="916"/>
      <c r="AG79" s="916"/>
      <c r="AH79" s="916"/>
    </row>
    <row r="80" spans="1:34" x14ac:dyDescent="0.25">
      <c r="A80" s="939" t="s">
        <v>993</v>
      </c>
      <c r="B80" s="918"/>
      <c r="C80" s="919"/>
      <c r="D80" s="920"/>
      <c r="E80" s="919"/>
      <c r="F80" s="919"/>
      <c r="G80" s="920"/>
      <c r="H80" s="919"/>
      <c r="I80" s="936"/>
      <c r="J80" s="919"/>
      <c r="K80" s="919"/>
      <c r="L80" s="919"/>
      <c r="M80" s="919"/>
      <c r="N80" s="936"/>
      <c r="O80" s="937"/>
      <c r="P80" s="919"/>
      <c r="Q80" s="919"/>
      <c r="R80" s="919"/>
      <c r="S80" s="919"/>
      <c r="T80" s="937"/>
      <c r="W80" s="916"/>
      <c r="X80" s="916"/>
      <c r="Y80" s="916"/>
      <c r="Z80" s="916"/>
      <c r="AA80" s="916"/>
      <c r="AB80" s="916"/>
      <c r="AC80" s="916"/>
      <c r="AD80" s="916"/>
      <c r="AE80" s="916"/>
      <c r="AF80" s="916"/>
      <c r="AG80" s="916"/>
      <c r="AH80" s="916"/>
    </row>
    <row r="81" spans="1:34" x14ac:dyDescent="0.25">
      <c r="A81" s="939" t="s">
        <v>994</v>
      </c>
      <c r="B81" s="918">
        <v>26.880531999999999</v>
      </c>
      <c r="C81" s="919"/>
      <c r="D81" s="920"/>
      <c r="E81" s="919">
        <v>20.078894999999999</v>
      </c>
      <c r="F81" s="919"/>
      <c r="G81" s="920"/>
      <c r="H81" s="919">
        <v>5.8466120000000004</v>
      </c>
      <c r="I81" s="936">
        <v>52.806038999999998</v>
      </c>
      <c r="J81" s="919"/>
      <c r="K81" s="919"/>
      <c r="L81" s="919"/>
      <c r="M81" s="919"/>
      <c r="N81" s="936"/>
      <c r="O81" s="937">
        <v>52.806038999999998</v>
      </c>
      <c r="P81" s="919">
        <v>15.686926</v>
      </c>
      <c r="Q81" s="919">
        <v>52.806038999999998</v>
      </c>
      <c r="R81" s="919"/>
      <c r="S81" s="919"/>
      <c r="T81" s="937">
        <v>52.806038999999998</v>
      </c>
      <c r="W81" s="916"/>
      <c r="X81" s="916"/>
      <c r="Y81" s="916"/>
      <c r="Z81" s="916"/>
      <c r="AA81" s="916"/>
      <c r="AB81" s="916"/>
      <c r="AC81" s="916"/>
      <c r="AD81" s="916"/>
      <c r="AE81" s="916"/>
      <c r="AF81" s="916"/>
      <c r="AG81" s="916"/>
      <c r="AH81" s="916"/>
    </row>
    <row r="82" spans="1:34" x14ac:dyDescent="0.25">
      <c r="A82" s="939" t="s">
        <v>995</v>
      </c>
      <c r="B82" s="918"/>
      <c r="C82" s="919"/>
      <c r="D82" s="920"/>
      <c r="E82" s="919"/>
      <c r="F82" s="919"/>
      <c r="G82" s="920"/>
      <c r="H82" s="919"/>
      <c r="I82" s="936"/>
      <c r="J82" s="919"/>
      <c r="K82" s="919"/>
      <c r="L82" s="919"/>
      <c r="M82" s="919"/>
      <c r="N82" s="936"/>
      <c r="O82" s="937"/>
      <c r="P82" s="919"/>
      <c r="Q82" s="919"/>
      <c r="R82" s="919"/>
      <c r="S82" s="919"/>
      <c r="T82" s="937"/>
      <c r="W82" s="916"/>
      <c r="X82" s="916"/>
      <c r="Y82" s="916"/>
      <c r="Z82" s="916"/>
      <c r="AA82" s="916"/>
      <c r="AB82" s="916"/>
      <c r="AC82" s="916"/>
      <c r="AD82" s="916"/>
      <c r="AE82" s="916"/>
      <c r="AF82" s="916"/>
      <c r="AG82" s="916"/>
      <c r="AH82" s="916"/>
    </row>
    <row r="83" spans="1:34" s="933" customFormat="1" x14ac:dyDescent="0.25">
      <c r="A83" s="910" t="s">
        <v>137</v>
      </c>
      <c r="B83" s="940">
        <v>2256.9473680000001</v>
      </c>
      <c r="C83" s="941">
        <v>500.78741400000001</v>
      </c>
      <c r="D83" s="942"/>
      <c r="E83" s="941">
        <v>1989.149647</v>
      </c>
      <c r="F83" s="941">
        <v>130.97422399999999</v>
      </c>
      <c r="G83" s="942"/>
      <c r="H83" s="941">
        <v>173.00710599999999</v>
      </c>
      <c r="I83" s="914">
        <v>5050.8657590000003</v>
      </c>
      <c r="J83" s="941">
        <v>0</v>
      </c>
      <c r="K83" s="941">
        <v>0</v>
      </c>
      <c r="L83" s="941" t="s">
        <v>921</v>
      </c>
      <c r="M83" s="941">
        <v>0</v>
      </c>
      <c r="N83" s="914" t="s">
        <v>921</v>
      </c>
      <c r="O83" s="914">
        <v>5050.8842459999996</v>
      </c>
      <c r="P83" s="941">
        <v>1553.5363010000001</v>
      </c>
      <c r="Q83" s="941">
        <v>3016.9665719999998</v>
      </c>
      <c r="R83" s="941">
        <v>1352.250454</v>
      </c>
      <c r="S83" s="941">
        <v>160.761268</v>
      </c>
      <c r="T83" s="914">
        <v>4529.9782939999996</v>
      </c>
      <c r="W83" s="916"/>
      <c r="X83" s="916"/>
      <c r="Y83" s="916"/>
      <c r="Z83" s="916"/>
      <c r="AA83" s="916"/>
      <c r="AB83" s="916"/>
      <c r="AC83" s="916"/>
      <c r="AD83" s="916"/>
      <c r="AE83" s="916"/>
      <c r="AF83" s="916"/>
      <c r="AG83" s="916"/>
      <c r="AH83" s="916"/>
    </row>
    <row r="84" spans="1:34" s="933" customFormat="1" ht="15.75" thickBot="1" x14ac:dyDescent="0.3">
      <c r="A84" s="943" t="s">
        <v>996</v>
      </c>
      <c r="B84" s="944">
        <v>237614.26074699999</v>
      </c>
      <c r="C84" s="945">
        <v>10842.535978</v>
      </c>
      <c r="D84" s="946">
        <v>94.100702999999996</v>
      </c>
      <c r="E84" s="945">
        <v>78148.681530000002</v>
      </c>
      <c r="F84" s="945">
        <v>6118.6365470000001</v>
      </c>
      <c r="G84" s="946">
        <v>42.703772000000001</v>
      </c>
      <c r="H84" s="945">
        <v>26489.250457999999</v>
      </c>
      <c r="I84" s="945">
        <v>359213.36525999999</v>
      </c>
      <c r="J84" s="945">
        <v>6228.658668</v>
      </c>
      <c r="K84" s="945">
        <v>0</v>
      </c>
      <c r="L84" s="945">
        <v>1.004348</v>
      </c>
      <c r="M84" s="945">
        <v>315.71375</v>
      </c>
      <c r="N84" s="945">
        <v>6545.3767660000003</v>
      </c>
      <c r="O84" s="945">
        <v>365758.74202599999</v>
      </c>
      <c r="P84" s="945">
        <v>90447.284098000004</v>
      </c>
      <c r="Q84" s="945">
        <v>297809.13151600002</v>
      </c>
      <c r="R84" s="945">
        <v>20074.227169000002</v>
      </c>
      <c r="S84" s="945">
        <v>14254.699672000001</v>
      </c>
      <c r="T84" s="947">
        <v>332138.058357</v>
      </c>
      <c r="W84" s="916"/>
      <c r="X84" s="916"/>
      <c r="Y84" s="916"/>
      <c r="Z84" s="916"/>
      <c r="AA84" s="916"/>
      <c r="AB84" s="916"/>
      <c r="AC84" s="916"/>
      <c r="AD84" s="916"/>
      <c r="AE84" s="916"/>
      <c r="AF84" s="916"/>
      <c r="AG84" s="916"/>
      <c r="AH84" s="916"/>
    </row>
    <row r="85" spans="1:34" s="948" customFormat="1" x14ac:dyDescent="0.25">
      <c r="J85" s="949"/>
      <c r="K85" s="949"/>
      <c r="L85" s="949"/>
      <c r="M85" s="949"/>
      <c r="N85" s="949"/>
      <c r="O85" s="949"/>
      <c r="Q85" s="949"/>
      <c r="R85" s="949"/>
      <c r="S85" s="949"/>
      <c r="T85" s="949"/>
      <c r="W85" s="916"/>
      <c r="X85" s="916"/>
      <c r="Y85" s="916"/>
      <c r="Z85" s="916"/>
      <c r="AA85" s="916"/>
      <c r="AB85" s="916"/>
      <c r="AC85" s="916"/>
      <c r="AD85" s="916"/>
      <c r="AE85" s="916"/>
      <c r="AF85" s="916"/>
      <c r="AG85" s="916"/>
      <c r="AH85" s="916"/>
    </row>
    <row r="86" spans="1:34" x14ac:dyDescent="0.25">
      <c r="B86" s="950"/>
      <c r="C86" s="950"/>
      <c r="D86" s="950"/>
      <c r="E86" s="950"/>
      <c r="F86" s="950"/>
      <c r="G86" s="950"/>
      <c r="H86" s="950"/>
      <c r="I86" s="950"/>
      <c r="O86" s="950"/>
      <c r="W86" s="916"/>
      <c r="X86" s="916"/>
      <c r="Y86" s="916"/>
      <c r="Z86" s="916"/>
      <c r="AA86" s="916"/>
      <c r="AB86" s="916"/>
      <c r="AC86" s="916"/>
      <c r="AD86" s="916"/>
      <c r="AE86" s="916"/>
      <c r="AF86" s="916"/>
      <c r="AG86" s="916"/>
      <c r="AH86" s="916"/>
    </row>
    <row r="87" spans="1:34" ht="18.75" x14ac:dyDescent="0.25">
      <c r="A87" s="1056" t="s">
        <v>997</v>
      </c>
      <c r="B87" s="1057"/>
      <c r="C87" s="1057"/>
      <c r="D87" s="1057"/>
      <c r="E87" s="1057"/>
      <c r="F87" s="1057"/>
      <c r="G87" s="1057"/>
      <c r="H87" s="1057"/>
      <c r="I87" s="1057"/>
      <c r="J87" s="1057"/>
      <c r="K87" s="1057"/>
      <c r="L87" s="1057"/>
      <c r="M87" s="1057"/>
      <c r="N87" s="1057"/>
      <c r="O87" s="1057"/>
      <c r="P87" s="1057"/>
      <c r="Q87" s="1057"/>
      <c r="R87" s="1057"/>
      <c r="S87" s="1057"/>
      <c r="T87" s="1058"/>
      <c r="W87" s="916"/>
      <c r="X87" s="916"/>
      <c r="Y87" s="916"/>
      <c r="Z87" s="916"/>
      <c r="AA87" s="916"/>
      <c r="AB87" s="916"/>
      <c r="AC87" s="916"/>
      <c r="AD87" s="916"/>
      <c r="AE87" s="916"/>
      <c r="AF87" s="916"/>
      <c r="AG87" s="916"/>
      <c r="AH87" s="916"/>
    </row>
    <row r="88" spans="1:34" s="909" customFormat="1" x14ac:dyDescent="0.25">
      <c r="A88" s="1059" t="s">
        <v>493</v>
      </c>
      <c r="B88" s="1061" t="s">
        <v>906</v>
      </c>
      <c r="C88" s="1062"/>
      <c r="D88" s="1062"/>
      <c r="E88" s="1062"/>
      <c r="F88" s="1062"/>
      <c r="G88" s="1062"/>
      <c r="H88" s="1062"/>
      <c r="I88" s="1063"/>
      <c r="J88" s="1064" t="s">
        <v>907</v>
      </c>
      <c r="K88" s="1065"/>
      <c r="L88" s="1065"/>
      <c r="M88" s="1065"/>
      <c r="N88" s="1066"/>
      <c r="O88" s="1067" t="s">
        <v>908</v>
      </c>
      <c r="P88" s="1068"/>
      <c r="Q88" s="1068"/>
      <c r="R88" s="1068"/>
      <c r="S88" s="1068"/>
      <c r="T88" s="1069"/>
      <c r="W88" s="916"/>
      <c r="X88" s="916"/>
      <c r="Y88" s="916"/>
      <c r="Z88" s="916"/>
      <c r="AA88" s="916"/>
      <c r="AB88" s="916"/>
      <c r="AC88" s="916"/>
      <c r="AD88" s="916"/>
      <c r="AE88" s="916"/>
      <c r="AF88" s="916"/>
      <c r="AG88" s="916"/>
      <c r="AH88" s="916"/>
    </row>
    <row r="89" spans="1:34" ht="60" x14ac:dyDescent="0.25">
      <c r="A89" s="1060"/>
      <c r="B89" s="951" t="s">
        <v>909</v>
      </c>
      <c r="C89" s="951" t="s">
        <v>882</v>
      </c>
      <c r="D89" s="951" t="s">
        <v>910</v>
      </c>
      <c r="E89" s="951" t="s">
        <v>883</v>
      </c>
      <c r="F89" s="951" t="s">
        <v>911</v>
      </c>
      <c r="G89" s="951" t="s">
        <v>912</v>
      </c>
      <c r="H89" s="951" t="s">
        <v>913</v>
      </c>
      <c r="I89" s="951" t="s">
        <v>914</v>
      </c>
      <c r="J89" s="952" t="s">
        <v>640</v>
      </c>
      <c r="K89" s="952" t="s">
        <v>882</v>
      </c>
      <c r="L89" s="952" t="s">
        <v>885</v>
      </c>
      <c r="M89" s="952" t="s">
        <v>913</v>
      </c>
      <c r="N89" s="952" t="s">
        <v>915</v>
      </c>
      <c r="O89" s="953" t="s">
        <v>139</v>
      </c>
      <c r="P89" s="953" t="s">
        <v>916</v>
      </c>
      <c r="Q89" s="953" t="s">
        <v>917</v>
      </c>
      <c r="R89" s="953" t="s">
        <v>918</v>
      </c>
      <c r="S89" s="953" t="s">
        <v>919</v>
      </c>
      <c r="T89" s="953" t="s">
        <v>920</v>
      </c>
      <c r="W89" s="916"/>
      <c r="X89" s="916"/>
      <c r="Y89" s="916"/>
      <c r="Z89" s="916"/>
      <c r="AA89" s="916"/>
      <c r="AB89" s="916"/>
      <c r="AC89" s="916"/>
      <c r="AD89" s="916"/>
      <c r="AE89" s="916"/>
      <c r="AF89" s="916"/>
      <c r="AG89" s="916"/>
      <c r="AH89" s="916"/>
    </row>
    <row r="90" spans="1:34" x14ac:dyDescent="0.25">
      <c r="A90" s="954" t="s">
        <v>998</v>
      </c>
      <c r="B90" s="919">
        <v>126638.06732</v>
      </c>
      <c r="C90" s="919">
        <v>2830.0029330000002</v>
      </c>
      <c r="D90" s="920" t="s">
        <v>921</v>
      </c>
      <c r="E90" s="919">
        <v>20571.836169999999</v>
      </c>
      <c r="F90" s="919">
        <v>1199.7062559999999</v>
      </c>
      <c r="G90" s="920">
        <v>37.52366</v>
      </c>
      <c r="H90" s="919">
        <v>11156.304040000001</v>
      </c>
      <c r="I90" s="955">
        <v>162395.916719</v>
      </c>
      <c r="J90" s="919">
        <v>1971.5887760000001</v>
      </c>
      <c r="K90" s="919"/>
      <c r="L90" s="919" t="s">
        <v>921</v>
      </c>
      <c r="M90" s="919">
        <v>92.604995000000002</v>
      </c>
      <c r="N90" s="955">
        <v>2065.1683790000002</v>
      </c>
      <c r="O90" s="956">
        <v>164461.08509800001</v>
      </c>
      <c r="P90" s="919">
        <v>33183.742989999999</v>
      </c>
      <c r="Q90" s="919">
        <v>150336.847232</v>
      </c>
      <c r="R90" s="919">
        <v>3066.7769880000001</v>
      </c>
      <c r="S90" s="919">
        <v>5818.2393400000001</v>
      </c>
      <c r="T90" s="956">
        <v>159221.86356</v>
      </c>
      <c r="W90" s="916"/>
      <c r="X90" s="916"/>
      <c r="Y90" s="916"/>
      <c r="Z90" s="916"/>
      <c r="AA90" s="916"/>
      <c r="AB90" s="916"/>
      <c r="AC90" s="916"/>
      <c r="AD90" s="916"/>
      <c r="AE90" s="916"/>
      <c r="AF90" s="916"/>
      <c r="AG90" s="916"/>
      <c r="AH90" s="916"/>
    </row>
    <row r="91" spans="1:34" x14ac:dyDescent="0.25">
      <c r="A91" s="954" t="s">
        <v>999</v>
      </c>
      <c r="B91" s="919">
        <v>69720.871025</v>
      </c>
      <c r="C91" s="919">
        <v>4635.5613069999999</v>
      </c>
      <c r="D91" s="920">
        <v>43.977359999999997</v>
      </c>
      <c r="E91" s="919">
        <v>28155.566327</v>
      </c>
      <c r="F91" s="919">
        <v>2410.6055409999999</v>
      </c>
      <c r="G91" s="920" t="s">
        <v>921</v>
      </c>
      <c r="H91" s="919">
        <v>9602.2334370000008</v>
      </c>
      <c r="I91" s="955">
        <v>114524.837637</v>
      </c>
      <c r="J91" s="919">
        <v>3919.8191240000001</v>
      </c>
      <c r="K91" s="919"/>
      <c r="L91" s="919" t="s">
        <v>921</v>
      </c>
      <c r="M91" s="919">
        <v>223.108755</v>
      </c>
      <c r="N91" s="955">
        <v>4142.9391320000004</v>
      </c>
      <c r="O91" s="956">
        <v>118667.776769</v>
      </c>
      <c r="P91" s="919">
        <v>36566.947057999998</v>
      </c>
      <c r="Q91" s="919">
        <v>91113.450276999996</v>
      </c>
      <c r="R91" s="919">
        <v>13727.873534</v>
      </c>
      <c r="S91" s="919">
        <v>6448.3089179999997</v>
      </c>
      <c r="T91" s="956">
        <v>111289.632729</v>
      </c>
      <c r="W91" s="916"/>
      <c r="X91" s="916"/>
      <c r="Y91" s="916"/>
      <c r="Z91" s="916"/>
      <c r="AA91" s="916"/>
      <c r="AB91" s="916"/>
      <c r="AC91" s="916"/>
      <c r="AD91" s="916"/>
      <c r="AE91" s="916"/>
      <c r="AF91" s="916"/>
      <c r="AG91" s="916"/>
      <c r="AH91" s="916"/>
    </row>
    <row r="92" spans="1:34" x14ac:dyDescent="0.25">
      <c r="A92" s="954" t="s">
        <v>1000</v>
      </c>
      <c r="B92" s="919">
        <v>38998.375033999997</v>
      </c>
      <c r="C92" s="919">
        <v>2876.1843239999998</v>
      </c>
      <c r="D92" s="920"/>
      <c r="E92" s="919">
        <v>27432.129386000001</v>
      </c>
      <c r="F92" s="919">
        <v>2377.3505260000002</v>
      </c>
      <c r="G92" s="920"/>
      <c r="H92" s="919">
        <v>5557.7058749999997</v>
      </c>
      <c r="I92" s="955">
        <v>77241.745144999993</v>
      </c>
      <c r="J92" s="919">
        <v>337.25076799999999</v>
      </c>
      <c r="K92" s="919"/>
      <c r="L92" s="919"/>
      <c r="M92" s="919"/>
      <c r="N92" s="955">
        <v>337.25076799999999</v>
      </c>
      <c r="O92" s="956">
        <v>77578.995913000006</v>
      </c>
      <c r="P92" s="919">
        <v>19143.057749</v>
      </c>
      <c r="Q92" s="919">
        <v>53341.867435</v>
      </c>
      <c r="R92" s="919">
        <v>1927.3261930000001</v>
      </c>
      <c r="S92" s="919">
        <v>1827.390146</v>
      </c>
      <c r="T92" s="956">
        <v>57096.583773999999</v>
      </c>
      <c r="W92" s="916"/>
      <c r="X92" s="916"/>
      <c r="Y92" s="916"/>
      <c r="Z92" s="916"/>
      <c r="AA92" s="916"/>
      <c r="AB92" s="916"/>
      <c r="AC92" s="916"/>
      <c r="AD92" s="916"/>
      <c r="AE92" s="916"/>
      <c r="AF92" s="916"/>
      <c r="AG92" s="916"/>
      <c r="AH92" s="916"/>
    </row>
    <row r="93" spans="1:34" s="948" customFormat="1" x14ac:dyDescent="0.25">
      <c r="A93" s="957" t="s">
        <v>116</v>
      </c>
      <c r="B93" s="941">
        <v>235357.313379</v>
      </c>
      <c r="C93" s="941">
        <v>10341.748564</v>
      </c>
      <c r="D93" s="942">
        <v>94.100702999999996</v>
      </c>
      <c r="E93" s="941">
        <v>76159.531883000003</v>
      </c>
      <c r="F93" s="941">
        <v>5987.6623229999996</v>
      </c>
      <c r="G93" s="942">
        <v>42.703772000000001</v>
      </c>
      <c r="H93" s="941">
        <v>26316.243352000001</v>
      </c>
      <c r="I93" s="958">
        <v>354162.49950099998</v>
      </c>
      <c r="J93" s="941">
        <v>6228.658668</v>
      </c>
      <c r="K93" s="941"/>
      <c r="L93" s="941">
        <v>0.98586099999999999</v>
      </c>
      <c r="M93" s="941">
        <v>315.71375</v>
      </c>
      <c r="N93" s="958">
        <v>6545.358279</v>
      </c>
      <c r="O93" s="941">
        <v>360707.85778000002</v>
      </c>
      <c r="P93" s="941">
        <v>88893.747797000004</v>
      </c>
      <c r="Q93" s="941">
        <v>294792.16494400002</v>
      </c>
      <c r="R93" s="941">
        <v>18721.976715000001</v>
      </c>
      <c r="S93" s="941">
        <v>14093.938404</v>
      </c>
      <c r="T93" s="941">
        <v>327608.08006299997</v>
      </c>
      <c r="W93" s="916"/>
      <c r="X93" s="916"/>
      <c r="Y93" s="916"/>
      <c r="Z93" s="916"/>
      <c r="AA93" s="916"/>
      <c r="AB93" s="916"/>
      <c r="AC93" s="916"/>
      <c r="AD93" s="916"/>
      <c r="AE93" s="916"/>
      <c r="AF93" s="916"/>
      <c r="AG93" s="916"/>
      <c r="AH93" s="916"/>
    </row>
    <row r="94" spans="1:34" s="948" customFormat="1" x14ac:dyDescent="0.25">
      <c r="A94" s="957" t="s">
        <v>137</v>
      </c>
      <c r="B94" s="941">
        <v>2256.9473680000001</v>
      </c>
      <c r="C94" s="941">
        <v>500.78741400000001</v>
      </c>
      <c r="D94" s="942"/>
      <c r="E94" s="941">
        <v>1989.149647</v>
      </c>
      <c r="F94" s="941">
        <v>130.97422399999999</v>
      </c>
      <c r="G94" s="942"/>
      <c r="H94" s="941">
        <v>173.00710599999999</v>
      </c>
      <c r="I94" s="959">
        <v>5050.8657590000003</v>
      </c>
      <c r="J94" s="941"/>
      <c r="K94" s="941"/>
      <c r="L94" s="941" t="s">
        <v>921</v>
      </c>
      <c r="M94" s="941"/>
      <c r="N94" s="959" t="s">
        <v>921</v>
      </c>
      <c r="O94" s="941">
        <v>5050.8842459999996</v>
      </c>
      <c r="P94" s="941">
        <v>1553.5363010000001</v>
      </c>
      <c r="Q94" s="941">
        <v>3016.9665719999998</v>
      </c>
      <c r="R94" s="941">
        <v>1352.250454</v>
      </c>
      <c r="S94" s="941">
        <v>160.761268</v>
      </c>
      <c r="T94" s="941">
        <v>4529.9782939999996</v>
      </c>
      <c r="W94" s="916"/>
      <c r="X94" s="916"/>
      <c r="Y94" s="916"/>
      <c r="Z94" s="916"/>
      <c r="AA94" s="916"/>
      <c r="AB94" s="916"/>
      <c r="AC94" s="916"/>
      <c r="AD94" s="916"/>
      <c r="AE94" s="916"/>
      <c r="AF94" s="916"/>
      <c r="AG94" s="916"/>
      <c r="AH94" s="916"/>
    </row>
    <row r="95" spans="1:34" s="948" customFormat="1" x14ac:dyDescent="0.25">
      <c r="A95" s="960" t="s">
        <v>996</v>
      </c>
      <c r="B95" s="930">
        <v>237614.26074699999</v>
      </c>
      <c r="C95" s="930">
        <v>10842.535978</v>
      </c>
      <c r="D95" s="931">
        <v>94.100702999999996</v>
      </c>
      <c r="E95" s="930">
        <v>78148.681530000002</v>
      </c>
      <c r="F95" s="930">
        <v>6118.6365470000001</v>
      </c>
      <c r="G95" s="931">
        <v>42.703772000000001</v>
      </c>
      <c r="H95" s="930">
        <v>26489.250457999999</v>
      </c>
      <c r="I95" s="961">
        <v>359213.36525999999</v>
      </c>
      <c r="J95" s="930">
        <v>6228.658668</v>
      </c>
      <c r="K95" s="930"/>
      <c r="L95" s="930">
        <v>1.004348</v>
      </c>
      <c r="M95" s="930">
        <v>315.71375</v>
      </c>
      <c r="N95" s="961">
        <v>6545.3767660000003</v>
      </c>
      <c r="O95" s="930">
        <v>365758.74202599999</v>
      </c>
      <c r="P95" s="930">
        <v>90447.284098000004</v>
      </c>
      <c r="Q95" s="930">
        <v>297809.13151600002</v>
      </c>
      <c r="R95" s="930">
        <v>20074.227169000002</v>
      </c>
      <c r="S95" s="930">
        <v>14254.699672000001</v>
      </c>
      <c r="T95" s="930">
        <v>332138.058357</v>
      </c>
      <c r="W95" s="916"/>
      <c r="X95" s="916"/>
      <c r="Y95" s="916"/>
      <c r="Z95" s="916"/>
      <c r="AA95" s="916"/>
      <c r="AB95" s="916"/>
      <c r="AC95" s="916"/>
      <c r="AD95" s="916"/>
      <c r="AE95" s="916"/>
      <c r="AF95" s="916"/>
      <c r="AG95" s="916"/>
      <c r="AH95" s="916"/>
    </row>
    <row r="96" spans="1:34" x14ac:dyDescent="0.25">
      <c r="W96" s="916"/>
      <c r="X96" s="916"/>
      <c r="Y96" s="916"/>
      <c r="Z96" s="916"/>
      <c r="AA96" s="916"/>
      <c r="AB96" s="916"/>
      <c r="AC96" s="916"/>
      <c r="AD96" s="916"/>
      <c r="AE96" s="916"/>
      <c r="AF96" s="916"/>
      <c r="AG96" s="916"/>
      <c r="AH96" s="916"/>
    </row>
    <row r="97" spans="1:34" x14ac:dyDescent="0.25">
      <c r="C97" s="950"/>
      <c r="D97" s="950"/>
      <c r="E97" s="950"/>
      <c r="F97" s="950"/>
      <c r="W97" s="916"/>
      <c r="X97" s="916"/>
      <c r="Y97" s="916"/>
      <c r="Z97" s="916"/>
      <c r="AA97" s="916"/>
      <c r="AB97" s="916"/>
      <c r="AC97" s="916"/>
      <c r="AD97" s="916"/>
      <c r="AE97" s="916"/>
      <c r="AF97" s="916"/>
      <c r="AG97" s="916"/>
      <c r="AH97" s="916"/>
    </row>
    <row r="98" spans="1:34" x14ac:dyDescent="0.25">
      <c r="P98" s="950"/>
      <c r="W98" s="916"/>
      <c r="X98" s="916"/>
      <c r="Y98" s="916"/>
      <c r="Z98" s="916"/>
      <c r="AA98" s="916"/>
      <c r="AB98" s="916"/>
      <c r="AC98" s="916"/>
      <c r="AD98" s="916"/>
      <c r="AE98" s="916"/>
      <c r="AF98" s="916"/>
      <c r="AG98" s="916"/>
      <c r="AH98" s="916"/>
    </row>
    <row r="99" spans="1:34" ht="18.75" x14ac:dyDescent="0.25">
      <c r="A99" s="1056" t="s">
        <v>1001</v>
      </c>
      <c r="B99" s="1057"/>
      <c r="C99" s="1057"/>
      <c r="D99" s="1057"/>
      <c r="E99" s="1057"/>
      <c r="F99" s="1057"/>
      <c r="G99" s="1057"/>
      <c r="H99" s="1057"/>
      <c r="I99" s="1057"/>
      <c r="J99" s="1057"/>
      <c r="K99" s="1057"/>
      <c r="L99" s="1057"/>
      <c r="M99" s="1057"/>
      <c r="N99" s="1057"/>
      <c r="O99" s="1057"/>
      <c r="P99" s="1057"/>
      <c r="Q99" s="1057"/>
      <c r="R99" s="1057"/>
      <c r="S99" s="1057"/>
      <c r="T99" s="1058"/>
      <c r="W99" s="916"/>
      <c r="X99" s="916"/>
      <c r="Y99" s="916"/>
      <c r="Z99" s="916"/>
      <c r="AA99" s="916"/>
      <c r="AB99" s="916"/>
      <c r="AC99" s="916"/>
      <c r="AD99" s="916"/>
      <c r="AE99" s="916"/>
      <c r="AF99" s="916"/>
      <c r="AG99" s="916"/>
      <c r="AH99" s="916"/>
    </row>
    <row r="100" spans="1:34" s="909" customFormat="1" x14ac:dyDescent="0.25">
      <c r="A100" s="1059" t="s">
        <v>493</v>
      </c>
      <c r="B100" s="1061" t="s">
        <v>906</v>
      </c>
      <c r="C100" s="1062"/>
      <c r="D100" s="1062"/>
      <c r="E100" s="1062"/>
      <c r="F100" s="1062"/>
      <c r="G100" s="1062"/>
      <c r="H100" s="1062"/>
      <c r="I100" s="1063"/>
      <c r="J100" s="1064" t="s">
        <v>907</v>
      </c>
      <c r="K100" s="1065"/>
      <c r="L100" s="1065"/>
      <c r="M100" s="1065"/>
      <c r="N100" s="1066"/>
      <c r="O100" s="1067" t="s">
        <v>908</v>
      </c>
      <c r="P100" s="1068"/>
      <c r="Q100" s="1068"/>
      <c r="R100" s="1068"/>
      <c r="S100" s="1068"/>
      <c r="T100" s="1069"/>
      <c r="W100" s="916"/>
      <c r="X100" s="916"/>
      <c r="Y100" s="916"/>
      <c r="Z100" s="916"/>
      <c r="AA100" s="916"/>
      <c r="AB100" s="916"/>
      <c r="AC100" s="916"/>
      <c r="AD100" s="916"/>
      <c r="AE100" s="916"/>
      <c r="AF100" s="916"/>
      <c r="AG100" s="916"/>
      <c r="AH100" s="916"/>
    </row>
    <row r="101" spans="1:34" ht="60" x14ac:dyDescent="0.25">
      <c r="A101" s="1060"/>
      <c r="B101" s="951" t="s">
        <v>909</v>
      </c>
      <c r="C101" s="951" t="s">
        <v>882</v>
      </c>
      <c r="D101" s="951" t="s">
        <v>910</v>
      </c>
      <c r="E101" s="951" t="s">
        <v>883</v>
      </c>
      <c r="F101" s="951" t="s">
        <v>911</v>
      </c>
      <c r="G101" s="951" t="s">
        <v>912</v>
      </c>
      <c r="H101" s="951" t="s">
        <v>913</v>
      </c>
      <c r="I101" s="951" t="s">
        <v>914</v>
      </c>
      <c r="J101" s="952" t="s">
        <v>640</v>
      </c>
      <c r="K101" s="952" t="s">
        <v>882</v>
      </c>
      <c r="L101" s="952" t="s">
        <v>885</v>
      </c>
      <c r="M101" s="952" t="s">
        <v>913</v>
      </c>
      <c r="N101" s="952" t="s">
        <v>915</v>
      </c>
      <c r="O101" s="953" t="s">
        <v>139</v>
      </c>
      <c r="P101" s="953" t="s">
        <v>916</v>
      </c>
      <c r="Q101" s="953" t="s">
        <v>917</v>
      </c>
      <c r="R101" s="953" t="s">
        <v>918</v>
      </c>
      <c r="S101" s="953" t="s">
        <v>919</v>
      </c>
      <c r="T101" s="953" t="s">
        <v>920</v>
      </c>
      <c r="W101" s="916"/>
      <c r="X101" s="916"/>
      <c r="Y101" s="916"/>
      <c r="Z101" s="916"/>
      <c r="AA101" s="916"/>
      <c r="AB101" s="916"/>
      <c r="AC101" s="916"/>
      <c r="AD101" s="916"/>
      <c r="AE101" s="916"/>
      <c r="AF101" s="916"/>
      <c r="AG101" s="916"/>
      <c r="AH101" s="916"/>
    </row>
    <row r="102" spans="1:34" s="916" customFormat="1" x14ac:dyDescent="0.25">
      <c r="A102" s="957" t="s">
        <v>110</v>
      </c>
      <c r="B102" s="924">
        <v>82547.147855000003</v>
      </c>
      <c r="C102" s="924">
        <v>39010.326998999997</v>
      </c>
      <c r="D102" s="925">
        <v>749.57039299999997</v>
      </c>
      <c r="E102" s="924">
        <v>37977.237290999998</v>
      </c>
      <c r="F102" s="924">
        <v>11368.041537999999</v>
      </c>
      <c r="G102" s="925">
        <v>195.75316699999999</v>
      </c>
      <c r="H102" s="924">
        <v>10908.916093</v>
      </c>
      <c r="I102" s="941">
        <v>181811.669776</v>
      </c>
      <c r="J102" s="924">
        <v>37203.636247000002</v>
      </c>
      <c r="K102" s="924">
        <v>4151.3480810000001</v>
      </c>
      <c r="L102" s="924">
        <v>4635.2167929999996</v>
      </c>
      <c r="M102" s="924">
        <v>1630.501872</v>
      </c>
      <c r="N102" s="941">
        <v>47620.702992999999</v>
      </c>
      <c r="O102" s="941">
        <v>229432.37276900001</v>
      </c>
      <c r="P102" s="924">
        <v>98131.159971000001</v>
      </c>
      <c r="Q102" s="924">
        <v>50237.521094999996</v>
      </c>
      <c r="R102" s="924">
        <v>93927.309766999999</v>
      </c>
      <c r="S102" s="924">
        <v>66118.209755000003</v>
      </c>
      <c r="T102" s="924">
        <v>210283.04061699999</v>
      </c>
    </row>
    <row r="103" spans="1:34" x14ac:dyDescent="0.25">
      <c r="A103" s="962" t="s">
        <v>922</v>
      </c>
      <c r="B103" s="919">
        <v>81381.625987000007</v>
      </c>
      <c r="C103" s="919">
        <v>38824.312425999997</v>
      </c>
      <c r="D103" s="920">
        <v>749.57039299999997</v>
      </c>
      <c r="E103" s="919">
        <v>37448.775175000002</v>
      </c>
      <c r="F103" s="919">
        <v>11366.484177</v>
      </c>
      <c r="G103" s="920">
        <v>195.75316699999999</v>
      </c>
      <c r="H103" s="919">
        <v>10798.890228</v>
      </c>
      <c r="I103" s="963">
        <v>179820.08799299999</v>
      </c>
      <c r="J103" s="919">
        <v>33619.637535000002</v>
      </c>
      <c r="K103" s="919">
        <v>4151.3480810000001</v>
      </c>
      <c r="L103" s="919">
        <v>4454.361793</v>
      </c>
      <c r="M103" s="919">
        <v>1630.501872</v>
      </c>
      <c r="N103" s="963">
        <v>43855.849281000003</v>
      </c>
      <c r="O103" s="964">
        <v>223675.937274</v>
      </c>
      <c r="P103" s="919">
        <v>95591.170320000005</v>
      </c>
      <c r="Q103" s="919">
        <v>49552.500670000001</v>
      </c>
      <c r="R103" s="919">
        <v>88855.894696999996</v>
      </c>
      <c r="S103" s="919">
        <v>66118.209755000003</v>
      </c>
      <c r="T103" s="965">
        <v>204526.60512200001</v>
      </c>
      <c r="W103" s="916"/>
      <c r="X103" s="916"/>
      <c r="Y103" s="916"/>
      <c r="Z103" s="916"/>
      <c r="AA103" s="916"/>
      <c r="AB103" s="916"/>
      <c r="AC103" s="916"/>
      <c r="AD103" s="916"/>
      <c r="AE103" s="916"/>
      <c r="AF103" s="916"/>
      <c r="AG103" s="916"/>
      <c r="AH103" s="916"/>
    </row>
    <row r="104" spans="1:34" x14ac:dyDescent="0.25">
      <c r="A104" s="962" t="s">
        <v>923</v>
      </c>
      <c r="B104" s="919" t="s">
        <v>921</v>
      </c>
      <c r="C104" s="919"/>
      <c r="D104" s="920"/>
      <c r="E104" s="919"/>
      <c r="F104" s="919"/>
      <c r="G104" s="920"/>
      <c r="H104" s="919" t="s">
        <v>921</v>
      </c>
      <c r="I104" s="963" t="s">
        <v>921</v>
      </c>
      <c r="J104" s="919"/>
      <c r="K104" s="919"/>
      <c r="L104" s="919"/>
      <c r="M104" s="919"/>
      <c r="N104" s="963"/>
      <c r="O104" s="964" t="s">
        <v>921</v>
      </c>
      <c r="P104" s="919" t="s">
        <v>921</v>
      </c>
      <c r="Q104" s="919" t="s">
        <v>921</v>
      </c>
      <c r="R104" s="919" t="s">
        <v>921</v>
      </c>
      <c r="S104" s="919"/>
      <c r="T104" s="965" t="s">
        <v>921</v>
      </c>
      <c r="W104" s="916"/>
      <c r="X104" s="916"/>
      <c r="Y104" s="916"/>
      <c r="Z104" s="916"/>
      <c r="AA104" s="916"/>
      <c r="AB104" s="916"/>
      <c r="AC104" s="916"/>
      <c r="AD104" s="916"/>
      <c r="AE104" s="916"/>
      <c r="AF104" s="916"/>
      <c r="AG104" s="916"/>
      <c r="AH104" s="916"/>
    </row>
    <row r="105" spans="1:34" x14ac:dyDescent="0.25">
      <c r="A105" s="962" t="s">
        <v>924</v>
      </c>
      <c r="B105" s="919"/>
      <c r="C105" s="919"/>
      <c r="D105" s="920"/>
      <c r="E105" s="919"/>
      <c r="F105" s="919"/>
      <c r="G105" s="920"/>
      <c r="H105" s="919"/>
      <c r="I105" s="963"/>
      <c r="J105" s="919"/>
      <c r="K105" s="919"/>
      <c r="L105" s="919"/>
      <c r="M105" s="919"/>
      <c r="N105" s="963"/>
      <c r="O105" s="964"/>
      <c r="P105" s="919"/>
      <c r="Q105" s="919"/>
      <c r="R105" s="919"/>
      <c r="S105" s="919"/>
      <c r="T105" s="965"/>
      <c r="W105" s="916"/>
      <c r="X105" s="916"/>
      <c r="Y105" s="916"/>
      <c r="Z105" s="916"/>
      <c r="AA105" s="916"/>
      <c r="AB105" s="916"/>
      <c r="AC105" s="916"/>
      <c r="AD105" s="916"/>
      <c r="AE105" s="916"/>
      <c r="AF105" s="916"/>
      <c r="AG105" s="916"/>
      <c r="AH105" s="916"/>
    </row>
    <row r="106" spans="1:34" x14ac:dyDescent="0.25">
      <c r="A106" s="962" t="s">
        <v>925</v>
      </c>
      <c r="B106" s="919" t="s">
        <v>921</v>
      </c>
      <c r="C106" s="919" t="s">
        <v>921</v>
      </c>
      <c r="D106" s="920"/>
      <c r="E106" s="919" t="s">
        <v>921</v>
      </c>
      <c r="F106" s="919"/>
      <c r="G106" s="920"/>
      <c r="H106" s="919"/>
      <c r="I106" s="963">
        <v>80.722240999999997</v>
      </c>
      <c r="J106" s="919"/>
      <c r="K106" s="919"/>
      <c r="L106" s="919"/>
      <c r="M106" s="919"/>
      <c r="N106" s="963"/>
      <c r="O106" s="964">
        <v>80.722240999999997</v>
      </c>
      <c r="P106" s="919" t="s">
        <v>921</v>
      </c>
      <c r="Q106" s="919" t="s">
        <v>921</v>
      </c>
      <c r="R106" s="919" t="s">
        <v>921</v>
      </c>
      <c r="S106" s="919"/>
      <c r="T106" s="965">
        <v>80.722240999999997</v>
      </c>
      <c r="W106" s="916"/>
      <c r="X106" s="916"/>
      <c r="Y106" s="916"/>
      <c r="Z106" s="916"/>
      <c r="AA106" s="916"/>
      <c r="AB106" s="916"/>
      <c r="AC106" s="916"/>
      <c r="AD106" s="916"/>
      <c r="AE106" s="916"/>
      <c r="AF106" s="916"/>
      <c r="AG106" s="916"/>
      <c r="AH106" s="916"/>
    </row>
    <row r="107" spans="1:34" x14ac:dyDescent="0.25">
      <c r="A107" s="962" t="s">
        <v>926</v>
      </c>
      <c r="B107" s="919"/>
      <c r="C107" s="919"/>
      <c r="D107" s="920"/>
      <c r="E107" s="919"/>
      <c r="F107" s="919"/>
      <c r="G107" s="920"/>
      <c r="H107" s="919"/>
      <c r="I107" s="963"/>
      <c r="J107" s="919"/>
      <c r="K107" s="919"/>
      <c r="L107" s="919"/>
      <c r="M107" s="919"/>
      <c r="N107" s="963"/>
      <c r="O107" s="964"/>
      <c r="P107" s="919"/>
      <c r="Q107" s="919"/>
      <c r="R107" s="919"/>
      <c r="S107" s="919"/>
      <c r="T107" s="965"/>
      <c r="W107" s="916"/>
      <c r="X107" s="916"/>
      <c r="Y107" s="916"/>
      <c r="Z107" s="916"/>
      <c r="AA107" s="916"/>
      <c r="AB107" s="916"/>
      <c r="AC107" s="916"/>
      <c r="AD107" s="916"/>
      <c r="AE107" s="916"/>
      <c r="AF107" s="916"/>
      <c r="AG107" s="916"/>
      <c r="AH107" s="916"/>
    </row>
    <row r="108" spans="1:34" x14ac:dyDescent="0.25">
      <c r="A108" s="962" t="s">
        <v>927</v>
      </c>
      <c r="B108" s="919">
        <v>1081.4872029999999</v>
      </c>
      <c r="C108" s="919">
        <v>112.007706</v>
      </c>
      <c r="D108" s="920"/>
      <c r="E108" s="919">
        <v>528.46211400000004</v>
      </c>
      <c r="F108" s="919" t="s">
        <v>921</v>
      </c>
      <c r="G108" s="920"/>
      <c r="H108" s="919">
        <v>109.218448</v>
      </c>
      <c r="I108" s="963">
        <v>1832.7328319999999</v>
      </c>
      <c r="J108" s="919" t="s">
        <v>921</v>
      </c>
      <c r="K108" s="919"/>
      <c r="L108" s="919" t="s">
        <v>921</v>
      </c>
      <c r="M108" s="919"/>
      <c r="N108" s="963">
        <v>3764.8537120000001</v>
      </c>
      <c r="O108" s="964">
        <v>5597.5865439999998</v>
      </c>
      <c r="P108" s="919">
        <v>2539.1822320000001</v>
      </c>
      <c r="Q108" s="919">
        <v>677.49763600000006</v>
      </c>
      <c r="R108" s="919">
        <v>4920.0889079999997</v>
      </c>
      <c r="S108" s="919"/>
      <c r="T108" s="965">
        <v>5597.5865439999998</v>
      </c>
      <c r="W108" s="916"/>
      <c r="X108" s="916"/>
      <c r="Y108" s="916"/>
      <c r="Z108" s="916"/>
      <c r="AA108" s="916"/>
      <c r="AB108" s="916"/>
      <c r="AC108" s="916"/>
      <c r="AD108" s="916"/>
      <c r="AE108" s="916"/>
      <c r="AF108" s="916"/>
      <c r="AG108" s="916"/>
      <c r="AH108" s="916"/>
    </row>
    <row r="109" spans="1:34" s="916" customFormat="1" x14ac:dyDescent="0.25">
      <c r="A109" s="957" t="s">
        <v>928</v>
      </c>
      <c r="B109" s="924">
        <v>108438.604956</v>
      </c>
      <c r="C109" s="924">
        <v>27264.239754999999</v>
      </c>
      <c r="D109" s="925">
        <v>1666.474577</v>
      </c>
      <c r="E109" s="924">
        <v>26535.451148</v>
      </c>
      <c r="F109" s="924">
        <v>10131.467001999999</v>
      </c>
      <c r="G109" s="925">
        <v>838.89101300000004</v>
      </c>
      <c r="H109" s="924">
        <v>5655.5339290000002</v>
      </c>
      <c r="I109" s="941">
        <v>178025.29678999999</v>
      </c>
      <c r="J109" s="924">
        <v>49979.871259</v>
      </c>
      <c r="K109" s="924">
        <v>17663.284757000001</v>
      </c>
      <c r="L109" s="924">
        <v>20177.14316</v>
      </c>
      <c r="M109" s="924">
        <v>1315.636933</v>
      </c>
      <c r="N109" s="941">
        <v>89135.936109000002</v>
      </c>
      <c r="O109" s="941">
        <v>267161.232899</v>
      </c>
      <c r="P109" s="924">
        <v>153713.13334599999</v>
      </c>
      <c r="Q109" s="924">
        <v>25159.275544</v>
      </c>
      <c r="R109" s="924">
        <v>69659.862024000002</v>
      </c>
      <c r="S109" s="924">
        <v>97215.659666000007</v>
      </c>
      <c r="T109" s="924">
        <v>192034.797234</v>
      </c>
    </row>
    <row r="110" spans="1:34" x14ac:dyDescent="0.25">
      <c r="A110" s="962" t="s">
        <v>929</v>
      </c>
      <c r="B110" s="919">
        <v>30979.556008</v>
      </c>
      <c r="C110" s="919">
        <v>8688.7370940000001</v>
      </c>
      <c r="D110" s="920">
        <v>483.44099799999998</v>
      </c>
      <c r="E110" s="919">
        <v>8476.6329549999991</v>
      </c>
      <c r="F110" s="919">
        <v>5165.2155839999996</v>
      </c>
      <c r="G110" s="920">
        <v>798.57986400000004</v>
      </c>
      <c r="H110" s="919">
        <v>2560.1160789999999</v>
      </c>
      <c r="I110" s="963">
        <v>55870.257720000001</v>
      </c>
      <c r="J110" s="919">
        <v>13227.402733999999</v>
      </c>
      <c r="K110" s="919">
        <v>1316.5347750000001</v>
      </c>
      <c r="L110" s="919">
        <v>804.36868800000002</v>
      </c>
      <c r="M110" s="919" t="s">
        <v>921</v>
      </c>
      <c r="N110" s="963">
        <v>15358.617343</v>
      </c>
      <c r="O110" s="964">
        <v>71228.875062999999</v>
      </c>
      <c r="P110" s="919">
        <v>38307.194722</v>
      </c>
      <c r="Q110" s="919">
        <v>2240.7068370000002</v>
      </c>
      <c r="R110" s="919">
        <v>19154.99901</v>
      </c>
      <c r="S110" s="919">
        <v>38802.137320000002</v>
      </c>
      <c r="T110" s="965">
        <v>60197.843166999999</v>
      </c>
      <c r="W110" s="916"/>
      <c r="X110" s="916"/>
      <c r="Y110" s="916"/>
      <c r="Z110" s="916"/>
      <c r="AA110" s="916"/>
      <c r="AB110" s="916"/>
      <c r="AC110" s="916"/>
      <c r="AD110" s="916"/>
      <c r="AE110" s="916"/>
      <c r="AF110" s="916"/>
      <c r="AG110" s="916"/>
      <c r="AH110" s="916"/>
    </row>
    <row r="111" spans="1:34" x14ac:dyDescent="0.25">
      <c r="A111" s="962" t="s">
        <v>930</v>
      </c>
      <c r="B111" s="919">
        <v>2411.6297180000001</v>
      </c>
      <c r="C111" s="919">
        <v>1006.2000870000001</v>
      </c>
      <c r="D111" s="920"/>
      <c r="E111" s="919">
        <v>1874.7906479999999</v>
      </c>
      <c r="F111" s="919">
        <v>330.51040399999999</v>
      </c>
      <c r="G111" s="920" t="s">
        <v>921</v>
      </c>
      <c r="H111" s="919">
        <v>774.44737699999996</v>
      </c>
      <c r="I111" s="963">
        <v>6397.5782339999996</v>
      </c>
      <c r="J111" s="919">
        <v>5038.6335680000002</v>
      </c>
      <c r="K111" s="919">
        <v>1142.4349110000001</v>
      </c>
      <c r="L111" s="919">
        <v>8999.6390119999996</v>
      </c>
      <c r="M111" s="919" t="s">
        <v>921</v>
      </c>
      <c r="N111" s="963">
        <v>15191.657257000001</v>
      </c>
      <c r="O111" s="964">
        <v>21589.235490999999</v>
      </c>
      <c r="P111" s="919">
        <v>16288.898536999999</v>
      </c>
      <c r="Q111" s="919">
        <v>2975.0281220000002</v>
      </c>
      <c r="R111" s="919">
        <v>5080.4912459999996</v>
      </c>
      <c r="S111" s="919">
        <v>6991.6598299999996</v>
      </c>
      <c r="T111" s="965">
        <v>15047.179198</v>
      </c>
      <c r="W111" s="916"/>
      <c r="X111" s="916"/>
      <c r="Y111" s="916"/>
      <c r="Z111" s="916"/>
      <c r="AA111" s="916"/>
      <c r="AB111" s="916"/>
      <c r="AC111" s="916"/>
      <c r="AD111" s="916"/>
      <c r="AE111" s="916"/>
      <c r="AF111" s="916"/>
      <c r="AG111" s="916"/>
      <c r="AH111" s="916"/>
    </row>
    <row r="112" spans="1:34" x14ac:dyDescent="0.25">
      <c r="A112" s="962" t="s">
        <v>931</v>
      </c>
      <c r="B112" s="919">
        <v>24.463356999999998</v>
      </c>
      <c r="C112" s="919" t="s">
        <v>921</v>
      </c>
      <c r="D112" s="920"/>
      <c r="E112" s="919">
        <v>44.518821000000003</v>
      </c>
      <c r="F112" s="919"/>
      <c r="G112" s="920"/>
      <c r="H112" s="919" t="s">
        <v>921</v>
      </c>
      <c r="I112" s="963">
        <v>98.956196000000006</v>
      </c>
      <c r="J112" s="919" t="s">
        <v>921</v>
      </c>
      <c r="K112" s="919"/>
      <c r="L112" s="919" t="s">
        <v>921</v>
      </c>
      <c r="M112" s="919"/>
      <c r="N112" s="963" t="s">
        <v>921</v>
      </c>
      <c r="O112" s="964">
        <v>155.64620099999999</v>
      </c>
      <c r="P112" s="919">
        <v>92.209391999999994</v>
      </c>
      <c r="Q112" s="919">
        <v>115.956029</v>
      </c>
      <c r="R112" s="919">
        <v>39.689812000000003</v>
      </c>
      <c r="S112" s="919"/>
      <c r="T112" s="965">
        <v>155.64584099999999</v>
      </c>
      <c r="W112" s="916"/>
      <c r="X112" s="916"/>
      <c r="Y112" s="916"/>
      <c r="Z112" s="916"/>
      <c r="AA112" s="916"/>
      <c r="AB112" s="916"/>
      <c r="AC112" s="916"/>
      <c r="AD112" s="916"/>
      <c r="AE112" s="916"/>
      <c r="AF112" s="916"/>
      <c r="AG112" s="916"/>
      <c r="AH112" s="916"/>
    </row>
    <row r="113" spans="1:34" x14ac:dyDescent="0.25">
      <c r="A113" s="962" t="s">
        <v>932</v>
      </c>
      <c r="B113" s="919"/>
      <c r="C113" s="919"/>
      <c r="D113" s="920"/>
      <c r="E113" s="919"/>
      <c r="F113" s="919"/>
      <c r="G113" s="920"/>
      <c r="H113" s="919"/>
      <c r="I113" s="963"/>
      <c r="J113" s="919"/>
      <c r="K113" s="919"/>
      <c r="L113" s="919"/>
      <c r="M113" s="919"/>
      <c r="N113" s="963"/>
      <c r="O113" s="964"/>
      <c r="P113" s="919"/>
      <c r="Q113" s="919"/>
      <c r="R113" s="919"/>
      <c r="S113" s="919"/>
      <c r="T113" s="965"/>
      <c r="W113" s="916"/>
      <c r="X113" s="916"/>
      <c r="Y113" s="916"/>
      <c r="Z113" s="916"/>
      <c r="AA113" s="916"/>
      <c r="AB113" s="916"/>
      <c r="AC113" s="916"/>
      <c r="AD113" s="916"/>
      <c r="AE113" s="916"/>
      <c r="AF113" s="916"/>
      <c r="AG113" s="916"/>
      <c r="AH113" s="916"/>
    </row>
    <row r="114" spans="1:34" x14ac:dyDescent="0.25">
      <c r="A114" s="962" t="s">
        <v>933</v>
      </c>
      <c r="B114" s="919">
        <v>476.94537800000001</v>
      </c>
      <c r="C114" s="919">
        <v>35.308435000000003</v>
      </c>
      <c r="D114" s="920"/>
      <c r="E114" s="919">
        <v>359.87734599999999</v>
      </c>
      <c r="F114" s="919" t="s">
        <v>921</v>
      </c>
      <c r="G114" s="920"/>
      <c r="H114" s="919">
        <v>100.551644</v>
      </c>
      <c r="I114" s="963">
        <v>978.559166</v>
      </c>
      <c r="J114" s="919" t="s">
        <v>921</v>
      </c>
      <c r="K114" s="919"/>
      <c r="L114" s="919"/>
      <c r="M114" s="919"/>
      <c r="N114" s="963" t="s">
        <v>921</v>
      </c>
      <c r="O114" s="964">
        <v>1725.019691</v>
      </c>
      <c r="P114" s="919">
        <v>305.72670099999999</v>
      </c>
      <c r="Q114" s="919">
        <v>1171.920695</v>
      </c>
      <c r="R114" s="919">
        <v>515.51125100000002</v>
      </c>
      <c r="S114" s="919" t="s">
        <v>921</v>
      </c>
      <c r="T114" s="965">
        <v>1725.019691</v>
      </c>
      <c r="W114" s="916"/>
      <c r="X114" s="916"/>
      <c r="Y114" s="916"/>
      <c r="Z114" s="916"/>
      <c r="AA114" s="916"/>
      <c r="AB114" s="916"/>
      <c r="AC114" s="916"/>
      <c r="AD114" s="916"/>
      <c r="AE114" s="916"/>
      <c r="AF114" s="916"/>
      <c r="AG114" s="916"/>
      <c r="AH114" s="916"/>
    </row>
    <row r="115" spans="1:34" x14ac:dyDescent="0.25">
      <c r="A115" s="962" t="s">
        <v>934</v>
      </c>
      <c r="B115" s="919">
        <v>39824.141575000001</v>
      </c>
      <c r="C115" s="919">
        <v>9203.4587940000001</v>
      </c>
      <c r="D115" s="920" t="s">
        <v>921</v>
      </c>
      <c r="E115" s="919">
        <v>6258.8074340000003</v>
      </c>
      <c r="F115" s="919">
        <v>2519.0097970000002</v>
      </c>
      <c r="G115" s="920"/>
      <c r="H115" s="919">
        <v>1682.8383940000001</v>
      </c>
      <c r="I115" s="963">
        <v>59488.255993999999</v>
      </c>
      <c r="J115" s="919">
        <v>14576.597911000001</v>
      </c>
      <c r="K115" s="919">
        <v>1301.6600559999999</v>
      </c>
      <c r="L115" s="919">
        <v>1732.924479</v>
      </c>
      <c r="M115" s="919">
        <v>1287.0710859999999</v>
      </c>
      <c r="N115" s="963">
        <v>18898.253531999999</v>
      </c>
      <c r="O115" s="964">
        <v>78386.509525999994</v>
      </c>
      <c r="P115" s="919">
        <v>45024.398369000002</v>
      </c>
      <c r="Q115" s="919">
        <v>4391.4328189999997</v>
      </c>
      <c r="R115" s="919">
        <v>21962.809270999998</v>
      </c>
      <c r="S115" s="919">
        <v>25119.905377999999</v>
      </c>
      <c r="T115" s="965">
        <v>51474.147468000003</v>
      </c>
      <c r="W115" s="916"/>
      <c r="X115" s="916"/>
      <c r="Y115" s="916"/>
      <c r="Z115" s="916"/>
      <c r="AA115" s="916"/>
      <c r="AB115" s="916"/>
      <c r="AC115" s="916"/>
      <c r="AD115" s="916"/>
      <c r="AE115" s="916"/>
      <c r="AF115" s="916"/>
      <c r="AG115" s="916"/>
      <c r="AH115" s="916"/>
    </row>
    <row r="116" spans="1:34" x14ac:dyDescent="0.25">
      <c r="A116" s="962" t="s">
        <v>935</v>
      </c>
      <c r="B116" s="919">
        <v>32162.281052999999</v>
      </c>
      <c r="C116" s="919">
        <v>8124.9993519999998</v>
      </c>
      <c r="D116" s="920">
        <v>1160.368894</v>
      </c>
      <c r="E116" s="919">
        <v>8415.3585760000005</v>
      </c>
      <c r="F116" s="919">
        <v>1916.815096</v>
      </c>
      <c r="G116" s="920"/>
      <c r="H116" s="919">
        <v>194.92125300000001</v>
      </c>
      <c r="I116" s="963">
        <v>50814.375330000003</v>
      </c>
      <c r="J116" s="919">
        <v>15181.590842</v>
      </c>
      <c r="K116" s="919">
        <v>12828.325274000001</v>
      </c>
      <c r="L116" s="919">
        <v>8597.8893029999999</v>
      </c>
      <c r="M116" s="919" t="s">
        <v>921</v>
      </c>
      <c r="N116" s="963">
        <v>36615.110353999997</v>
      </c>
      <c r="O116" s="964">
        <v>87429.485683999999</v>
      </c>
      <c r="P116" s="919">
        <v>50141.878288</v>
      </c>
      <c r="Q116" s="919">
        <v>10983.594652</v>
      </c>
      <c r="R116" s="919">
        <v>20410.774869000001</v>
      </c>
      <c r="S116" s="919">
        <v>25846.836972000001</v>
      </c>
      <c r="T116" s="965">
        <v>57241.206492999998</v>
      </c>
      <c r="W116" s="916"/>
      <c r="X116" s="916"/>
      <c r="Y116" s="916"/>
      <c r="Z116" s="916"/>
      <c r="AA116" s="916"/>
      <c r="AB116" s="916"/>
      <c r="AC116" s="916"/>
      <c r="AD116" s="916"/>
      <c r="AE116" s="916"/>
      <c r="AF116" s="916"/>
      <c r="AG116" s="916"/>
      <c r="AH116" s="916"/>
    </row>
    <row r="117" spans="1:34" x14ac:dyDescent="0.25">
      <c r="A117" s="962" t="s">
        <v>936</v>
      </c>
      <c r="B117" s="919">
        <v>809.25137600000005</v>
      </c>
      <c r="C117" s="919">
        <v>17.576135000000001</v>
      </c>
      <c r="D117" s="920"/>
      <c r="E117" s="919">
        <v>307.83770800000002</v>
      </c>
      <c r="F117" s="919" t="s">
        <v>921</v>
      </c>
      <c r="G117" s="920"/>
      <c r="H117" s="919">
        <v>11.721947</v>
      </c>
      <c r="I117" s="963">
        <v>1174.376051</v>
      </c>
      <c r="J117" s="919">
        <v>1184.4756609999999</v>
      </c>
      <c r="K117" s="919">
        <v>913.56732999999997</v>
      </c>
      <c r="L117" s="919"/>
      <c r="M117" s="919"/>
      <c r="N117" s="963">
        <v>2098.0429909999998</v>
      </c>
      <c r="O117" s="964">
        <v>3272.419042</v>
      </c>
      <c r="P117" s="919">
        <v>2039.70271</v>
      </c>
      <c r="Q117" s="919">
        <v>1793.9108060000001</v>
      </c>
      <c r="R117" s="919">
        <v>1455.433235</v>
      </c>
      <c r="S117" s="919"/>
      <c r="T117" s="965">
        <v>3249.3440409999998</v>
      </c>
      <c r="W117" s="916"/>
      <c r="X117" s="916"/>
      <c r="Y117" s="916"/>
      <c r="Z117" s="916"/>
      <c r="AA117" s="916"/>
      <c r="AB117" s="916"/>
      <c r="AC117" s="916"/>
      <c r="AD117" s="916"/>
      <c r="AE117" s="916"/>
      <c r="AF117" s="916"/>
      <c r="AG117" s="916"/>
      <c r="AH117" s="916"/>
    </row>
    <row r="118" spans="1:34" x14ac:dyDescent="0.25">
      <c r="A118" s="962" t="s">
        <v>937</v>
      </c>
      <c r="B118" s="919">
        <v>130.70597900000001</v>
      </c>
      <c r="C118" s="919"/>
      <c r="D118" s="920"/>
      <c r="E118" s="919">
        <v>295.30443300000002</v>
      </c>
      <c r="F118" s="919"/>
      <c r="G118" s="920"/>
      <c r="H118" s="919" t="s">
        <v>921</v>
      </c>
      <c r="I118" s="963">
        <v>437.18352599999997</v>
      </c>
      <c r="J118" s="919"/>
      <c r="K118" s="919"/>
      <c r="L118" s="919"/>
      <c r="M118" s="919"/>
      <c r="N118" s="963"/>
      <c r="O118" s="964">
        <v>437.18352599999997</v>
      </c>
      <c r="P118" s="919">
        <v>336.920457</v>
      </c>
      <c r="Q118" s="919">
        <v>101.310677</v>
      </c>
      <c r="R118" s="919" t="s">
        <v>921</v>
      </c>
      <c r="S118" s="919">
        <v>326.08018499999997</v>
      </c>
      <c r="T118" s="965">
        <v>437.18352599999997</v>
      </c>
      <c r="W118" s="916"/>
      <c r="X118" s="916"/>
      <c r="Y118" s="916"/>
      <c r="Z118" s="916"/>
      <c r="AA118" s="916"/>
      <c r="AB118" s="916"/>
      <c r="AC118" s="916"/>
      <c r="AD118" s="916"/>
      <c r="AE118" s="916"/>
      <c r="AF118" s="916"/>
      <c r="AG118" s="916"/>
      <c r="AH118" s="916"/>
    </row>
    <row r="119" spans="1:34" x14ac:dyDescent="0.25">
      <c r="A119" s="962" t="s">
        <v>938</v>
      </c>
      <c r="B119" s="919"/>
      <c r="C119" s="919"/>
      <c r="D119" s="920"/>
      <c r="E119" s="919"/>
      <c r="F119" s="919"/>
      <c r="G119" s="920"/>
      <c r="H119" s="919"/>
      <c r="I119" s="963"/>
      <c r="J119" s="919"/>
      <c r="K119" s="919"/>
      <c r="L119" s="919"/>
      <c r="M119" s="919"/>
      <c r="N119" s="963"/>
      <c r="O119" s="964"/>
      <c r="P119" s="919"/>
      <c r="Q119" s="919"/>
      <c r="R119" s="919"/>
      <c r="S119" s="919"/>
      <c r="T119" s="965"/>
      <c r="W119" s="916"/>
      <c r="X119" s="916"/>
      <c r="Y119" s="916"/>
      <c r="Z119" s="916"/>
      <c r="AA119" s="916"/>
      <c r="AB119" s="916"/>
      <c r="AC119" s="916"/>
      <c r="AD119" s="916"/>
      <c r="AE119" s="916"/>
      <c r="AF119" s="916"/>
      <c r="AG119" s="916"/>
      <c r="AH119" s="916"/>
    </row>
    <row r="120" spans="1:34" x14ac:dyDescent="0.25">
      <c r="A120" s="962" t="s">
        <v>939</v>
      </c>
      <c r="B120" s="919">
        <v>1619.630512</v>
      </c>
      <c r="C120" s="919">
        <v>182.048811</v>
      </c>
      <c r="D120" s="920"/>
      <c r="E120" s="919">
        <v>502.32322699999997</v>
      </c>
      <c r="F120" s="919">
        <v>166.050873</v>
      </c>
      <c r="G120" s="920" t="s">
        <v>921</v>
      </c>
      <c r="H120" s="919">
        <v>295.70114999999998</v>
      </c>
      <c r="I120" s="963">
        <v>2765.7545730000002</v>
      </c>
      <c r="J120" s="919" t="s">
        <v>921</v>
      </c>
      <c r="K120" s="919" t="s">
        <v>921</v>
      </c>
      <c r="L120" s="919"/>
      <c r="M120" s="919"/>
      <c r="N120" s="963" t="s">
        <v>921</v>
      </c>
      <c r="O120" s="964">
        <v>2936.8586749999999</v>
      </c>
      <c r="P120" s="919">
        <v>1176.20417</v>
      </c>
      <c r="Q120" s="919">
        <v>1385.4149070000001</v>
      </c>
      <c r="R120" s="919">
        <v>1030.360666</v>
      </c>
      <c r="S120" s="919">
        <v>91.452235999999999</v>
      </c>
      <c r="T120" s="965">
        <v>2507.227809</v>
      </c>
      <c r="W120" s="916"/>
      <c r="X120" s="916"/>
      <c r="Y120" s="916"/>
      <c r="Z120" s="916"/>
      <c r="AA120" s="916"/>
      <c r="AB120" s="916"/>
      <c r="AC120" s="916"/>
      <c r="AD120" s="916"/>
      <c r="AE120" s="916"/>
      <c r="AF120" s="916"/>
      <c r="AG120" s="916"/>
      <c r="AH120" s="916"/>
    </row>
    <row r="121" spans="1:34" x14ac:dyDescent="0.25">
      <c r="A121" s="962" t="s">
        <v>940</v>
      </c>
      <c r="B121" s="919"/>
      <c r="C121" s="919"/>
      <c r="D121" s="920"/>
      <c r="E121" s="919"/>
      <c r="F121" s="919"/>
      <c r="G121" s="920"/>
      <c r="H121" s="919"/>
      <c r="I121" s="963"/>
      <c r="J121" s="919"/>
      <c r="K121" s="919"/>
      <c r="L121" s="919"/>
      <c r="M121" s="919"/>
      <c r="N121" s="963"/>
      <c r="O121" s="964"/>
      <c r="P121" s="919"/>
      <c r="Q121" s="919"/>
      <c r="R121" s="919"/>
      <c r="S121" s="919"/>
      <c r="T121" s="965"/>
      <c r="W121" s="916"/>
      <c r="X121" s="916"/>
      <c r="Y121" s="916"/>
      <c r="Z121" s="916"/>
      <c r="AA121" s="916"/>
      <c r="AB121" s="916"/>
      <c r="AC121" s="916"/>
      <c r="AD121" s="916"/>
      <c r="AE121" s="916"/>
      <c r="AF121" s="916"/>
      <c r="AG121" s="916"/>
      <c r="AH121" s="916"/>
    </row>
    <row r="122" spans="1:34" s="916" customFormat="1" x14ac:dyDescent="0.25">
      <c r="A122" s="957" t="s">
        <v>229</v>
      </c>
      <c r="B122" s="924">
        <v>21758.842604000001</v>
      </c>
      <c r="C122" s="924">
        <v>6040.7758640000002</v>
      </c>
      <c r="D122" s="925">
        <v>631.43608800000004</v>
      </c>
      <c r="E122" s="924">
        <v>5309.3318870000003</v>
      </c>
      <c r="F122" s="924">
        <v>607.62585999999999</v>
      </c>
      <c r="G122" s="925"/>
      <c r="H122" s="924">
        <v>1278.0104859999999</v>
      </c>
      <c r="I122" s="941">
        <v>34994.586701</v>
      </c>
      <c r="J122" s="924">
        <v>5900.7006270000002</v>
      </c>
      <c r="K122" s="924">
        <v>1334.3059929999999</v>
      </c>
      <c r="L122" s="924">
        <v>2030.652801</v>
      </c>
      <c r="M122" s="924">
        <v>410.59470099999999</v>
      </c>
      <c r="N122" s="941">
        <v>9676.2541220000003</v>
      </c>
      <c r="O122" s="941">
        <v>44670.840822999999</v>
      </c>
      <c r="P122" s="924">
        <v>21809.6551</v>
      </c>
      <c r="Q122" s="924">
        <v>8287.7044289999994</v>
      </c>
      <c r="R122" s="924">
        <v>17761.903931000001</v>
      </c>
      <c r="S122" s="924">
        <v>10870.398415</v>
      </c>
      <c r="T122" s="924">
        <v>36920.006775000002</v>
      </c>
    </row>
    <row r="123" spans="1:34" x14ac:dyDescent="0.25">
      <c r="A123" s="962" t="s">
        <v>941</v>
      </c>
      <c r="B123" s="919">
        <v>15142.532545</v>
      </c>
      <c r="C123" s="919">
        <v>4631.8554519999998</v>
      </c>
      <c r="D123" s="920">
        <v>631.43608800000004</v>
      </c>
      <c r="E123" s="919">
        <v>2787.475422</v>
      </c>
      <c r="F123" s="919">
        <v>502.39388700000001</v>
      </c>
      <c r="G123" s="920"/>
      <c r="H123" s="919">
        <v>600.98785099999998</v>
      </c>
      <c r="I123" s="963">
        <v>23665.245157000001</v>
      </c>
      <c r="J123" s="919">
        <v>5483.7623309999999</v>
      </c>
      <c r="K123" s="919">
        <v>1334.3059929999999</v>
      </c>
      <c r="L123" s="919">
        <v>2030.652801</v>
      </c>
      <c r="M123" s="919">
        <v>392.443691</v>
      </c>
      <c r="N123" s="963">
        <v>9241.1648160000004</v>
      </c>
      <c r="O123" s="964">
        <v>32906.409973000002</v>
      </c>
      <c r="P123" s="919">
        <v>17250.548770000001</v>
      </c>
      <c r="Q123" s="919">
        <v>3256.8678049999999</v>
      </c>
      <c r="R123" s="919">
        <v>11782.071779</v>
      </c>
      <c r="S123" s="919">
        <v>10413.037687</v>
      </c>
      <c r="T123" s="965">
        <v>25451.977271</v>
      </c>
      <c r="W123" s="916"/>
      <c r="X123" s="916"/>
      <c r="Y123" s="916"/>
      <c r="Z123" s="916"/>
      <c r="AA123" s="916"/>
      <c r="AB123" s="916"/>
      <c r="AC123" s="916"/>
      <c r="AD123" s="916"/>
      <c r="AE123" s="916"/>
      <c r="AF123" s="916"/>
      <c r="AG123" s="916"/>
      <c r="AH123" s="916"/>
    </row>
    <row r="124" spans="1:34" x14ac:dyDescent="0.25">
      <c r="A124" s="962" t="s">
        <v>942</v>
      </c>
      <c r="B124" s="919">
        <v>2177.9961309999999</v>
      </c>
      <c r="C124" s="919">
        <v>62.279311</v>
      </c>
      <c r="D124" s="920"/>
      <c r="E124" s="919">
        <v>421.89761600000003</v>
      </c>
      <c r="F124" s="919">
        <v>0.56548200000000004</v>
      </c>
      <c r="G124" s="920"/>
      <c r="H124" s="919">
        <v>96.480909999999994</v>
      </c>
      <c r="I124" s="963">
        <v>2759.2194500000001</v>
      </c>
      <c r="J124" s="919">
        <v>12.167522999999999</v>
      </c>
      <c r="K124" s="919"/>
      <c r="L124" s="919"/>
      <c r="M124" s="919">
        <v>18.151009999999999</v>
      </c>
      <c r="N124" s="963">
        <v>30.318532999999999</v>
      </c>
      <c r="O124" s="964">
        <v>2789.5379830000002</v>
      </c>
      <c r="P124" s="919">
        <v>452.28359399999999</v>
      </c>
      <c r="Q124" s="919">
        <v>2104.4393169999998</v>
      </c>
      <c r="R124" s="919">
        <v>661.66528000000005</v>
      </c>
      <c r="S124" s="919"/>
      <c r="T124" s="965">
        <v>2766.104597</v>
      </c>
      <c r="W124" s="916"/>
      <c r="X124" s="916"/>
      <c r="Y124" s="916"/>
      <c r="Z124" s="916"/>
      <c r="AA124" s="916"/>
      <c r="AB124" s="916"/>
      <c r="AC124" s="916"/>
      <c r="AD124" s="916"/>
      <c r="AE124" s="916"/>
      <c r="AF124" s="916"/>
      <c r="AG124" s="916"/>
      <c r="AH124" s="916"/>
    </row>
    <row r="125" spans="1:34" x14ac:dyDescent="0.25">
      <c r="A125" s="962" t="s">
        <v>943</v>
      </c>
      <c r="B125" s="919"/>
      <c r="C125" s="919"/>
      <c r="D125" s="920"/>
      <c r="E125" s="919"/>
      <c r="F125" s="919"/>
      <c r="G125" s="920"/>
      <c r="H125" s="919"/>
      <c r="I125" s="963"/>
      <c r="J125" s="919"/>
      <c r="K125" s="919"/>
      <c r="L125" s="919"/>
      <c r="M125" s="919"/>
      <c r="N125" s="963"/>
      <c r="O125" s="964"/>
      <c r="P125" s="919"/>
      <c r="Q125" s="919"/>
      <c r="R125" s="919"/>
      <c r="S125" s="919"/>
      <c r="T125" s="965"/>
      <c r="W125" s="916"/>
      <c r="X125" s="916"/>
      <c r="Y125" s="916"/>
      <c r="Z125" s="916"/>
      <c r="AA125" s="916"/>
      <c r="AB125" s="916"/>
      <c r="AC125" s="916"/>
      <c r="AD125" s="916"/>
      <c r="AE125" s="916"/>
      <c r="AF125" s="916"/>
      <c r="AG125" s="916"/>
      <c r="AH125" s="916"/>
    </row>
    <row r="126" spans="1:34" x14ac:dyDescent="0.25">
      <c r="A126" s="962" t="s">
        <v>944</v>
      </c>
      <c r="B126" s="919"/>
      <c r="C126" s="919"/>
      <c r="D126" s="920"/>
      <c r="E126" s="919"/>
      <c r="F126" s="919"/>
      <c r="G126" s="920"/>
      <c r="H126" s="919"/>
      <c r="I126" s="963"/>
      <c r="J126" s="919"/>
      <c r="K126" s="919"/>
      <c r="L126" s="919"/>
      <c r="M126" s="919"/>
      <c r="N126" s="963"/>
      <c r="O126" s="964"/>
      <c r="P126" s="919"/>
      <c r="Q126" s="919"/>
      <c r="R126" s="919"/>
      <c r="S126" s="919"/>
      <c r="T126" s="965"/>
      <c r="W126" s="916"/>
      <c r="X126" s="916"/>
      <c r="Y126" s="916"/>
      <c r="Z126" s="916"/>
      <c r="AA126" s="916"/>
      <c r="AB126" s="916"/>
      <c r="AC126" s="916"/>
      <c r="AD126" s="916"/>
      <c r="AE126" s="916"/>
      <c r="AF126" s="916"/>
      <c r="AG126" s="916"/>
      <c r="AH126" s="916"/>
    </row>
    <row r="127" spans="1:34" x14ac:dyDescent="0.25">
      <c r="A127" s="962" t="s">
        <v>945</v>
      </c>
      <c r="B127" s="919">
        <v>2779.0435910000001</v>
      </c>
      <c r="C127" s="919">
        <v>1113.5867350000001</v>
      </c>
      <c r="D127" s="920"/>
      <c r="E127" s="919">
        <v>1265.3916240000001</v>
      </c>
      <c r="F127" s="919">
        <v>99.069790999999995</v>
      </c>
      <c r="G127" s="920"/>
      <c r="H127" s="919">
        <v>328.36438800000002</v>
      </c>
      <c r="I127" s="963">
        <v>5585.4561290000001</v>
      </c>
      <c r="J127" s="919"/>
      <c r="K127" s="919"/>
      <c r="L127" s="919"/>
      <c r="M127" s="919"/>
      <c r="N127" s="963"/>
      <c r="O127" s="964">
        <v>5585.4561290000001</v>
      </c>
      <c r="P127" s="919">
        <v>2693.7970260000002</v>
      </c>
      <c r="Q127" s="919">
        <v>1900.380682</v>
      </c>
      <c r="R127" s="919">
        <v>3313.6316689999999</v>
      </c>
      <c r="S127" s="919">
        <v>227.970482</v>
      </c>
      <c r="T127" s="965">
        <v>5441.982833</v>
      </c>
      <c r="W127" s="916"/>
      <c r="X127" s="916"/>
      <c r="Y127" s="916"/>
      <c r="Z127" s="916"/>
      <c r="AA127" s="916"/>
      <c r="AB127" s="916"/>
      <c r="AC127" s="916"/>
      <c r="AD127" s="916"/>
      <c r="AE127" s="916"/>
      <c r="AF127" s="916"/>
      <c r="AG127" s="916"/>
      <c r="AH127" s="916"/>
    </row>
    <row r="128" spans="1:34" x14ac:dyDescent="0.25">
      <c r="A128" s="962" t="s">
        <v>946</v>
      </c>
      <c r="B128" s="919">
        <v>108.30592900000001</v>
      </c>
      <c r="C128" s="919" t="s">
        <v>921</v>
      </c>
      <c r="D128" s="920"/>
      <c r="E128" s="919">
        <v>30.284500999999999</v>
      </c>
      <c r="F128" s="919">
        <v>5.5967000000000002</v>
      </c>
      <c r="G128" s="920"/>
      <c r="H128" s="919">
        <v>118.924499</v>
      </c>
      <c r="I128" s="963">
        <v>278.825829</v>
      </c>
      <c r="J128" s="919"/>
      <c r="K128" s="919"/>
      <c r="L128" s="919"/>
      <c r="M128" s="919"/>
      <c r="N128" s="963"/>
      <c r="O128" s="964">
        <v>278.825829</v>
      </c>
      <c r="P128" s="919">
        <v>128.73981599999999</v>
      </c>
      <c r="Q128" s="919">
        <v>88.683525000000003</v>
      </c>
      <c r="R128" s="919">
        <v>190.142304</v>
      </c>
      <c r="S128" s="919"/>
      <c r="T128" s="965">
        <v>278.825829</v>
      </c>
      <c r="W128" s="916"/>
      <c r="X128" s="916"/>
      <c r="Y128" s="916"/>
      <c r="Z128" s="916"/>
      <c r="AA128" s="916"/>
      <c r="AB128" s="916"/>
      <c r="AC128" s="916"/>
      <c r="AD128" s="916"/>
      <c r="AE128" s="916"/>
      <c r="AF128" s="916"/>
      <c r="AG128" s="916"/>
      <c r="AH128" s="916"/>
    </row>
    <row r="129" spans="1:34" x14ac:dyDescent="0.25">
      <c r="A129" s="962" t="s">
        <v>947</v>
      </c>
      <c r="B129" s="919"/>
      <c r="C129" s="919"/>
      <c r="D129" s="920"/>
      <c r="E129" s="919"/>
      <c r="F129" s="919"/>
      <c r="G129" s="920"/>
      <c r="H129" s="919"/>
      <c r="I129" s="963"/>
      <c r="J129" s="919"/>
      <c r="K129" s="919"/>
      <c r="L129" s="919"/>
      <c r="M129" s="919"/>
      <c r="N129" s="963"/>
      <c r="O129" s="964"/>
      <c r="P129" s="919"/>
      <c r="Q129" s="919"/>
      <c r="R129" s="919"/>
      <c r="S129" s="919"/>
      <c r="T129" s="965"/>
      <c r="W129" s="916"/>
      <c r="X129" s="916"/>
      <c r="Y129" s="916"/>
      <c r="Z129" s="916"/>
      <c r="AA129" s="916"/>
      <c r="AB129" s="916"/>
      <c r="AC129" s="916"/>
      <c r="AD129" s="916"/>
      <c r="AE129" s="916"/>
      <c r="AF129" s="916"/>
      <c r="AG129" s="916"/>
      <c r="AH129" s="916"/>
    </row>
    <row r="130" spans="1:34" x14ac:dyDescent="0.25">
      <c r="A130" s="962" t="s">
        <v>948</v>
      </c>
      <c r="B130" s="919"/>
      <c r="C130" s="919"/>
      <c r="D130" s="920"/>
      <c r="E130" s="919"/>
      <c r="F130" s="919"/>
      <c r="G130" s="920"/>
      <c r="H130" s="919"/>
      <c r="I130" s="963"/>
      <c r="J130" s="919"/>
      <c r="K130" s="919"/>
      <c r="L130" s="919"/>
      <c r="M130" s="919"/>
      <c r="N130" s="963"/>
      <c r="O130" s="964"/>
      <c r="P130" s="919"/>
      <c r="Q130" s="919"/>
      <c r="R130" s="919"/>
      <c r="S130" s="919"/>
      <c r="T130" s="965"/>
      <c r="W130" s="916"/>
      <c r="X130" s="916"/>
      <c r="Y130" s="916"/>
      <c r="Z130" s="916"/>
      <c r="AA130" s="916"/>
      <c r="AB130" s="916"/>
      <c r="AC130" s="916"/>
      <c r="AD130" s="916"/>
      <c r="AE130" s="916"/>
      <c r="AF130" s="916"/>
      <c r="AG130" s="916"/>
      <c r="AH130" s="916"/>
    </row>
    <row r="131" spans="1:34" x14ac:dyDescent="0.25">
      <c r="A131" s="962" t="s">
        <v>949</v>
      </c>
      <c r="B131" s="919">
        <v>52.360709999999997</v>
      </c>
      <c r="C131" s="919"/>
      <c r="D131" s="920"/>
      <c r="E131" s="919" t="s">
        <v>921</v>
      </c>
      <c r="F131" s="919"/>
      <c r="G131" s="920"/>
      <c r="H131" s="919" t="s">
        <v>921</v>
      </c>
      <c r="I131" s="963">
        <v>72.341100999999995</v>
      </c>
      <c r="J131" s="919">
        <v>194.01682400000001</v>
      </c>
      <c r="K131" s="919"/>
      <c r="L131" s="919"/>
      <c r="M131" s="919"/>
      <c r="N131" s="963">
        <v>194.01682400000001</v>
      </c>
      <c r="O131" s="964">
        <v>266.35792500000002</v>
      </c>
      <c r="P131" s="919" t="s">
        <v>921</v>
      </c>
      <c r="Q131" s="919">
        <v>236.52203399999999</v>
      </c>
      <c r="R131" s="919">
        <v>29.835891</v>
      </c>
      <c r="S131" s="919"/>
      <c r="T131" s="965">
        <v>266.35792500000002</v>
      </c>
      <c r="W131" s="916"/>
      <c r="X131" s="916"/>
      <c r="Y131" s="916"/>
      <c r="Z131" s="916"/>
      <c r="AA131" s="916"/>
      <c r="AB131" s="916"/>
      <c r="AC131" s="916"/>
      <c r="AD131" s="916"/>
      <c r="AE131" s="916"/>
      <c r="AF131" s="916"/>
      <c r="AG131" s="916"/>
      <c r="AH131" s="916"/>
    </row>
    <row r="132" spans="1:34" x14ac:dyDescent="0.25">
      <c r="A132" s="962" t="s">
        <v>950</v>
      </c>
      <c r="B132" s="919">
        <v>124.11888399999999</v>
      </c>
      <c r="C132" s="919" t="s">
        <v>921</v>
      </c>
      <c r="D132" s="920"/>
      <c r="E132" s="919">
        <v>210.48714000000001</v>
      </c>
      <c r="F132" s="919"/>
      <c r="G132" s="920"/>
      <c r="H132" s="919">
        <v>17.073696999999999</v>
      </c>
      <c r="I132" s="963">
        <v>358.52166399999999</v>
      </c>
      <c r="J132" s="919" t="s">
        <v>921</v>
      </c>
      <c r="K132" s="919"/>
      <c r="L132" s="919"/>
      <c r="M132" s="919"/>
      <c r="N132" s="963" t="s">
        <v>921</v>
      </c>
      <c r="O132" s="964">
        <v>414.88934499999999</v>
      </c>
      <c r="P132" s="919">
        <v>90.496440000000007</v>
      </c>
      <c r="Q132" s="919">
        <v>291.402691</v>
      </c>
      <c r="R132" s="919" t="s">
        <v>921</v>
      </c>
      <c r="S132" s="919"/>
      <c r="T132" s="965">
        <v>298.82929999999999</v>
      </c>
      <c r="W132" s="916"/>
      <c r="X132" s="916"/>
      <c r="Y132" s="916"/>
      <c r="Z132" s="916"/>
      <c r="AA132" s="916"/>
      <c r="AB132" s="916"/>
      <c r="AC132" s="916"/>
      <c r="AD132" s="916"/>
      <c r="AE132" s="916"/>
      <c r="AF132" s="916"/>
      <c r="AG132" s="916"/>
      <c r="AH132" s="916"/>
    </row>
    <row r="133" spans="1:34" x14ac:dyDescent="0.25">
      <c r="A133" s="962" t="s">
        <v>951</v>
      </c>
      <c r="B133" s="919">
        <v>1374.4848139999999</v>
      </c>
      <c r="C133" s="919">
        <v>210.498223</v>
      </c>
      <c r="D133" s="920"/>
      <c r="E133" s="919">
        <v>591.85424499999999</v>
      </c>
      <c r="F133" s="919"/>
      <c r="G133" s="920"/>
      <c r="H133" s="919">
        <v>98.140089000000003</v>
      </c>
      <c r="I133" s="963">
        <v>2274.9773709999999</v>
      </c>
      <c r="J133" s="919" t="s">
        <v>921</v>
      </c>
      <c r="K133" s="919"/>
      <c r="L133" s="919"/>
      <c r="M133" s="919"/>
      <c r="N133" s="963" t="s">
        <v>921</v>
      </c>
      <c r="O133" s="964">
        <v>2429.3636390000001</v>
      </c>
      <c r="P133" s="919">
        <v>1151.2842439999999</v>
      </c>
      <c r="Q133" s="919">
        <v>409.40837499999998</v>
      </c>
      <c r="R133" s="919">
        <v>1777.1303989999999</v>
      </c>
      <c r="S133" s="919">
        <v>229.39024599999999</v>
      </c>
      <c r="T133" s="965">
        <v>2415.92902</v>
      </c>
      <c r="W133" s="916"/>
      <c r="X133" s="916"/>
      <c r="Y133" s="916"/>
      <c r="Z133" s="916"/>
      <c r="AA133" s="916"/>
      <c r="AB133" s="916"/>
      <c r="AC133" s="916"/>
      <c r="AD133" s="916"/>
      <c r="AE133" s="916"/>
      <c r="AF133" s="916"/>
      <c r="AG133" s="916"/>
      <c r="AH133" s="916"/>
    </row>
    <row r="134" spans="1:34" s="916" customFormat="1" x14ac:dyDescent="0.25">
      <c r="A134" s="957" t="s">
        <v>115</v>
      </c>
      <c r="B134" s="924">
        <v>38247.419287999997</v>
      </c>
      <c r="C134" s="924">
        <v>22108.533415999998</v>
      </c>
      <c r="D134" s="925">
        <v>1656.504404</v>
      </c>
      <c r="E134" s="924">
        <v>16703.405430999999</v>
      </c>
      <c r="F134" s="924">
        <v>2355.7594779999999</v>
      </c>
      <c r="G134" s="925" t="s">
        <v>921</v>
      </c>
      <c r="H134" s="924">
        <v>2705.0576660000002</v>
      </c>
      <c r="I134" s="941">
        <v>82120.175279000003</v>
      </c>
      <c r="J134" s="924">
        <v>4981.9716939999998</v>
      </c>
      <c r="K134" s="924">
        <v>5387.2818129999996</v>
      </c>
      <c r="L134" s="924">
        <v>5065.7951720000001</v>
      </c>
      <c r="M134" s="924" t="s">
        <v>921</v>
      </c>
      <c r="N134" s="941">
        <v>17100.617931000001</v>
      </c>
      <c r="O134" s="941">
        <v>99220.793210000003</v>
      </c>
      <c r="P134" s="924">
        <v>56706.339408</v>
      </c>
      <c r="Q134" s="924">
        <v>22350.470304999999</v>
      </c>
      <c r="R134" s="924">
        <v>17736.319476000001</v>
      </c>
      <c r="S134" s="924">
        <v>43653.858783999996</v>
      </c>
      <c r="T134" s="924">
        <v>83740.648564999996</v>
      </c>
    </row>
    <row r="135" spans="1:34" x14ac:dyDescent="0.25">
      <c r="A135" s="962" t="s">
        <v>952</v>
      </c>
      <c r="B135" s="919">
        <v>14631.687819999999</v>
      </c>
      <c r="C135" s="919">
        <v>9412.3487490000007</v>
      </c>
      <c r="D135" s="920"/>
      <c r="E135" s="919">
        <v>3719.062375</v>
      </c>
      <c r="F135" s="919">
        <v>2122.218664</v>
      </c>
      <c r="G135" s="920" t="s">
        <v>921</v>
      </c>
      <c r="H135" s="919">
        <v>965.541158</v>
      </c>
      <c r="I135" s="963">
        <v>30850.858766000001</v>
      </c>
      <c r="J135" s="919">
        <v>1144.802907</v>
      </c>
      <c r="K135" s="919">
        <v>1452.2242550000001</v>
      </c>
      <c r="L135" s="919">
        <v>1002.331366</v>
      </c>
      <c r="M135" s="919"/>
      <c r="N135" s="963">
        <v>3599.3585280000002</v>
      </c>
      <c r="O135" s="964">
        <v>34450.217294000002</v>
      </c>
      <c r="P135" s="919">
        <v>19485.657917</v>
      </c>
      <c r="Q135" s="919">
        <v>2774.7460500000002</v>
      </c>
      <c r="R135" s="919">
        <v>6247.0864549999997</v>
      </c>
      <c r="S135" s="919">
        <v>24232.184859000001</v>
      </c>
      <c r="T135" s="965">
        <v>33254.017363999999</v>
      </c>
      <c r="W135" s="916"/>
      <c r="X135" s="916"/>
      <c r="Y135" s="916"/>
      <c r="Z135" s="916"/>
      <c r="AA135" s="916"/>
      <c r="AB135" s="916"/>
      <c r="AC135" s="916"/>
      <c r="AD135" s="916"/>
      <c r="AE135" s="916"/>
      <c r="AF135" s="916"/>
      <c r="AG135" s="916"/>
      <c r="AH135" s="916"/>
    </row>
    <row r="136" spans="1:34" x14ac:dyDescent="0.25">
      <c r="A136" s="962" t="s">
        <v>953</v>
      </c>
      <c r="B136" s="919">
        <v>16133.637361999999</v>
      </c>
      <c r="C136" s="919">
        <v>7730.9251700000004</v>
      </c>
      <c r="D136" s="920">
        <v>1656.504404</v>
      </c>
      <c r="E136" s="919">
        <v>5324.5615719999996</v>
      </c>
      <c r="F136" s="919">
        <v>203.81189900000001</v>
      </c>
      <c r="G136" s="920"/>
      <c r="H136" s="919">
        <v>792.95696899999996</v>
      </c>
      <c r="I136" s="963">
        <v>30185.892972000001</v>
      </c>
      <c r="J136" s="919">
        <v>3101.6081909999998</v>
      </c>
      <c r="K136" s="919" t="s">
        <v>921</v>
      </c>
      <c r="L136" s="919"/>
      <c r="M136" s="919" t="s">
        <v>921</v>
      </c>
      <c r="N136" s="963">
        <v>6031.8920369999996</v>
      </c>
      <c r="O136" s="964">
        <v>36217.785008999999</v>
      </c>
      <c r="P136" s="919">
        <v>20478.387156000001</v>
      </c>
      <c r="Q136" s="919">
        <v>12971.985710000001</v>
      </c>
      <c r="R136" s="919">
        <v>7281.7664260000001</v>
      </c>
      <c r="S136" s="919">
        <v>12102.954397</v>
      </c>
      <c r="T136" s="965">
        <v>32356.706533</v>
      </c>
      <c r="W136" s="916"/>
      <c r="X136" s="916"/>
      <c r="Y136" s="916"/>
      <c r="Z136" s="916"/>
      <c r="AA136" s="916"/>
      <c r="AB136" s="916"/>
      <c r="AC136" s="916"/>
      <c r="AD136" s="916"/>
      <c r="AE136" s="916"/>
      <c r="AF136" s="916"/>
      <c r="AG136" s="916"/>
      <c r="AH136" s="916"/>
    </row>
    <row r="137" spans="1:34" x14ac:dyDescent="0.25">
      <c r="A137" s="962" t="s">
        <v>954</v>
      </c>
      <c r="B137" s="919">
        <v>1240.6650999999999</v>
      </c>
      <c r="C137" s="919">
        <v>393.08218199999999</v>
      </c>
      <c r="D137" s="920"/>
      <c r="E137" s="919">
        <v>905.80676900000003</v>
      </c>
      <c r="F137" s="919"/>
      <c r="G137" s="920"/>
      <c r="H137" s="919">
        <v>426.844292</v>
      </c>
      <c r="I137" s="963">
        <v>2966.3983429999998</v>
      </c>
      <c r="J137" s="919" t="s">
        <v>921</v>
      </c>
      <c r="K137" s="919"/>
      <c r="L137" s="919" t="s">
        <v>921</v>
      </c>
      <c r="M137" s="919" t="s">
        <v>921</v>
      </c>
      <c r="N137" s="963">
        <v>1486.4810050000001</v>
      </c>
      <c r="O137" s="964">
        <v>4452.8793480000004</v>
      </c>
      <c r="P137" s="919">
        <v>2687.3086750000002</v>
      </c>
      <c r="Q137" s="919">
        <v>1210.306497</v>
      </c>
      <c r="R137" s="919">
        <v>171.251878</v>
      </c>
      <c r="S137" s="919">
        <v>350.01247899999998</v>
      </c>
      <c r="T137" s="965">
        <v>1731.5708540000001</v>
      </c>
      <c r="W137" s="916"/>
      <c r="X137" s="916"/>
      <c r="Y137" s="916"/>
      <c r="Z137" s="916"/>
      <c r="AA137" s="916"/>
      <c r="AB137" s="916"/>
      <c r="AC137" s="916"/>
      <c r="AD137" s="916"/>
      <c r="AE137" s="916"/>
      <c r="AF137" s="916"/>
      <c r="AG137" s="916"/>
      <c r="AH137" s="916"/>
    </row>
    <row r="138" spans="1:34" x14ac:dyDescent="0.25">
      <c r="A138" s="962" t="s">
        <v>955</v>
      </c>
      <c r="B138" s="919">
        <v>2639.773389</v>
      </c>
      <c r="C138" s="919">
        <v>3443.4625590000001</v>
      </c>
      <c r="D138" s="920"/>
      <c r="E138" s="919">
        <v>1734.8501160000001</v>
      </c>
      <c r="F138" s="919">
        <v>16.981453999999999</v>
      </c>
      <c r="G138" s="920"/>
      <c r="H138" s="919">
        <v>7.115005</v>
      </c>
      <c r="I138" s="963">
        <v>7842.1825230000004</v>
      </c>
      <c r="J138" s="919">
        <v>454.869214</v>
      </c>
      <c r="K138" s="919" t="s">
        <v>921</v>
      </c>
      <c r="L138" s="919">
        <v>2588.080868</v>
      </c>
      <c r="M138" s="919"/>
      <c r="N138" s="963">
        <v>5535.0881749999999</v>
      </c>
      <c r="O138" s="964">
        <v>13377.270698</v>
      </c>
      <c r="P138" s="919">
        <v>8909.3658429999996</v>
      </c>
      <c r="Q138" s="919">
        <v>1317.332328</v>
      </c>
      <c r="R138" s="919">
        <v>829.21707600000002</v>
      </c>
      <c r="S138" s="919">
        <v>5452.4611919999998</v>
      </c>
      <c r="T138" s="965">
        <v>7599.0105960000001</v>
      </c>
      <c r="W138" s="916"/>
      <c r="X138" s="916"/>
      <c r="Y138" s="916"/>
      <c r="Z138" s="916"/>
      <c r="AA138" s="916"/>
      <c r="AB138" s="916"/>
      <c r="AC138" s="916"/>
      <c r="AD138" s="916"/>
      <c r="AE138" s="916"/>
      <c r="AF138" s="916"/>
      <c r="AG138" s="916"/>
      <c r="AH138" s="916"/>
    </row>
    <row r="139" spans="1:34" x14ac:dyDescent="0.25">
      <c r="A139" s="962" t="s">
        <v>956</v>
      </c>
      <c r="B139" s="919">
        <v>173.04817499999999</v>
      </c>
      <c r="C139" s="919">
        <v>140.71228400000001</v>
      </c>
      <c r="D139" s="920"/>
      <c r="E139" s="919">
        <v>566.85654499999998</v>
      </c>
      <c r="F139" s="919" t="s">
        <v>921</v>
      </c>
      <c r="G139" s="920"/>
      <c r="H139" s="919">
        <v>113.837717</v>
      </c>
      <c r="I139" s="963">
        <v>1003.479067</v>
      </c>
      <c r="J139" s="919" t="s">
        <v>921</v>
      </c>
      <c r="K139" s="919" t="s">
        <v>921</v>
      </c>
      <c r="L139" s="919"/>
      <c r="M139" s="919"/>
      <c r="N139" s="963" t="s">
        <v>921</v>
      </c>
      <c r="O139" s="964">
        <v>1205.458333</v>
      </c>
      <c r="P139" s="919">
        <v>721.45443799999998</v>
      </c>
      <c r="Q139" s="919">
        <v>518.44587100000001</v>
      </c>
      <c r="R139" s="919">
        <v>148.98175000000001</v>
      </c>
      <c r="S139" s="919" t="s">
        <v>921</v>
      </c>
      <c r="T139" s="965">
        <v>862.71469200000001</v>
      </c>
      <c r="W139" s="916"/>
      <c r="X139" s="916"/>
      <c r="Y139" s="916"/>
      <c r="Z139" s="916"/>
      <c r="AA139" s="916"/>
      <c r="AB139" s="916"/>
      <c r="AC139" s="916"/>
      <c r="AD139" s="916"/>
      <c r="AE139" s="916"/>
      <c r="AF139" s="916"/>
      <c r="AG139" s="916"/>
      <c r="AH139" s="916"/>
    </row>
    <row r="140" spans="1:34" x14ac:dyDescent="0.25">
      <c r="A140" s="962" t="s">
        <v>957</v>
      </c>
      <c r="B140" s="919">
        <v>998.66599299999996</v>
      </c>
      <c r="C140" s="919">
        <v>366.66152699999998</v>
      </c>
      <c r="D140" s="920"/>
      <c r="E140" s="919">
        <v>2296.6509569999998</v>
      </c>
      <c r="F140" s="919"/>
      <c r="G140" s="920"/>
      <c r="H140" s="919">
        <v>152.00110900000001</v>
      </c>
      <c r="I140" s="963">
        <v>3813.9795859999999</v>
      </c>
      <c r="J140" s="919">
        <v>182.34444199999999</v>
      </c>
      <c r="K140" s="919"/>
      <c r="L140" s="919"/>
      <c r="M140" s="919"/>
      <c r="N140" s="963">
        <v>182.34444199999999</v>
      </c>
      <c r="O140" s="964">
        <v>3996.324028</v>
      </c>
      <c r="P140" s="919">
        <v>2314.6476309999998</v>
      </c>
      <c r="Q140" s="919">
        <v>1157.318168</v>
      </c>
      <c r="R140" s="919">
        <v>1279.1450400000001</v>
      </c>
      <c r="S140" s="919" t="s">
        <v>921</v>
      </c>
      <c r="T140" s="965">
        <v>2436.470061</v>
      </c>
      <c r="W140" s="916"/>
      <c r="X140" s="916"/>
      <c r="Y140" s="916"/>
      <c r="Z140" s="916"/>
      <c r="AA140" s="916"/>
      <c r="AB140" s="916"/>
      <c r="AC140" s="916"/>
      <c r="AD140" s="916"/>
      <c r="AE140" s="916"/>
      <c r="AF140" s="916"/>
      <c r="AG140" s="916"/>
      <c r="AH140" s="916"/>
    </row>
    <row r="141" spans="1:34" x14ac:dyDescent="0.25">
      <c r="A141" s="962" t="s">
        <v>958</v>
      </c>
      <c r="B141" s="919">
        <v>561.70165899999995</v>
      </c>
      <c r="C141" s="919">
        <v>148.205792</v>
      </c>
      <c r="D141" s="920"/>
      <c r="E141" s="919">
        <v>1199.4032179999999</v>
      </c>
      <c r="F141" s="919"/>
      <c r="G141" s="920"/>
      <c r="H141" s="919">
        <v>122.545687</v>
      </c>
      <c r="I141" s="963">
        <v>2031.856356</v>
      </c>
      <c r="J141" s="919"/>
      <c r="K141" s="919"/>
      <c r="L141" s="919"/>
      <c r="M141" s="919"/>
      <c r="N141" s="963"/>
      <c r="O141" s="964">
        <v>2031.856356</v>
      </c>
      <c r="P141" s="919">
        <v>905.01028099999996</v>
      </c>
      <c r="Q141" s="919">
        <v>1264.929431</v>
      </c>
      <c r="R141" s="919">
        <v>752.18469200000004</v>
      </c>
      <c r="S141" s="919"/>
      <c r="T141" s="965">
        <v>2017.1141230000001</v>
      </c>
      <c r="W141" s="916"/>
      <c r="X141" s="916"/>
      <c r="Y141" s="916"/>
      <c r="Z141" s="916"/>
      <c r="AA141" s="916"/>
      <c r="AB141" s="916"/>
      <c r="AC141" s="916"/>
      <c r="AD141" s="916"/>
      <c r="AE141" s="916"/>
      <c r="AF141" s="916"/>
      <c r="AG141" s="916"/>
      <c r="AH141" s="916"/>
    </row>
    <row r="142" spans="1:34" x14ac:dyDescent="0.25">
      <c r="A142" s="962" t="s">
        <v>959</v>
      </c>
      <c r="B142" s="919"/>
      <c r="C142" s="919"/>
      <c r="D142" s="920"/>
      <c r="E142" s="919" t="s">
        <v>921</v>
      </c>
      <c r="F142" s="919"/>
      <c r="G142" s="920"/>
      <c r="H142" s="919"/>
      <c r="I142" s="963" t="s">
        <v>921</v>
      </c>
      <c r="J142" s="919"/>
      <c r="K142" s="919"/>
      <c r="L142" s="919"/>
      <c r="M142" s="919"/>
      <c r="N142" s="963"/>
      <c r="O142" s="964" t="s">
        <v>921</v>
      </c>
      <c r="P142" s="919" t="s">
        <v>921</v>
      </c>
      <c r="Q142" s="919" t="s">
        <v>921</v>
      </c>
      <c r="R142" s="919"/>
      <c r="S142" s="919"/>
      <c r="T142" s="965" t="s">
        <v>921</v>
      </c>
      <c r="W142" s="916"/>
      <c r="X142" s="916"/>
      <c r="Y142" s="916"/>
      <c r="Z142" s="916"/>
      <c r="AA142" s="916"/>
      <c r="AB142" s="916"/>
      <c r="AC142" s="916"/>
      <c r="AD142" s="916"/>
      <c r="AE142" s="916"/>
      <c r="AF142" s="916"/>
      <c r="AG142" s="916"/>
      <c r="AH142" s="916"/>
    </row>
    <row r="143" spans="1:34" x14ac:dyDescent="0.25">
      <c r="A143" s="962" t="s">
        <v>960</v>
      </c>
      <c r="B143" s="919">
        <v>1868.2397900000001</v>
      </c>
      <c r="C143" s="919">
        <v>473.135153</v>
      </c>
      <c r="D143" s="920"/>
      <c r="E143" s="919">
        <v>954.17132900000001</v>
      </c>
      <c r="F143" s="919" t="s">
        <v>921</v>
      </c>
      <c r="G143" s="920"/>
      <c r="H143" s="919">
        <v>124.215729</v>
      </c>
      <c r="I143" s="963">
        <v>3423.4851159999998</v>
      </c>
      <c r="J143" s="919" t="s">
        <v>921</v>
      </c>
      <c r="K143" s="919"/>
      <c r="L143" s="919" t="s">
        <v>921</v>
      </c>
      <c r="M143" s="919"/>
      <c r="N143" s="963">
        <v>63.474477999999998</v>
      </c>
      <c r="O143" s="964">
        <v>3486.9595939999999</v>
      </c>
      <c r="P143" s="919">
        <v>1203.2668060000001</v>
      </c>
      <c r="Q143" s="919">
        <v>1133.3637000000001</v>
      </c>
      <c r="R143" s="919">
        <v>1026.6861590000001</v>
      </c>
      <c r="S143" s="919">
        <v>1320.9519330000001</v>
      </c>
      <c r="T143" s="965">
        <v>3481.001792</v>
      </c>
      <c r="W143" s="916"/>
      <c r="X143" s="916"/>
      <c r="Y143" s="916"/>
      <c r="Z143" s="916"/>
      <c r="AA143" s="916"/>
      <c r="AB143" s="916"/>
      <c r="AC143" s="916"/>
      <c r="AD143" s="916"/>
      <c r="AE143" s="916"/>
      <c r="AF143" s="916"/>
      <c r="AG143" s="916"/>
      <c r="AH143" s="916"/>
    </row>
    <row r="144" spans="1:34" s="933" customFormat="1" ht="15.75" thickBot="1" x14ac:dyDescent="0.3">
      <c r="A144" s="966" t="s">
        <v>116</v>
      </c>
      <c r="B144" s="967">
        <v>250992.01470299999</v>
      </c>
      <c r="C144" s="967">
        <v>94423.876034000001</v>
      </c>
      <c r="D144" s="968">
        <v>4703.9854619999996</v>
      </c>
      <c r="E144" s="967">
        <v>86525.425757000005</v>
      </c>
      <c r="F144" s="967">
        <v>24462.893877999999</v>
      </c>
      <c r="G144" s="968">
        <v>1246.1575560000001</v>
      </c>
      <c r="H144" s="967">
        <v>20547.518174000001</v>
      </c>
      <c r="I144" s="967">
        <v>476951.72854600003</v>
      </c>
      <c r="J144" s="967">
        <v>98066.179827</v>
      </c>
      <c r="K144" s="967">
        <v>28536.220644000001</v>
      </c>
      <c r="L144" s="967">
        <v>31908.807926000001</v>
      </c>
      <c r="M144" s="967">
        <v>5022.3027579999998</v>
      </c>
      <c r="N144" s="967">
        <v>163533.51115499999</v>
      </c>
      <c r="O144" s="967">
        <v>640485.23970100004</v>
      </c>
      <c r="P144" s="967">
        <v>330360.28782500001</v>
      </c>
      <c r="Q144" s="967">
        <v>106034.97137299999</v>
      </c>
      <c r="R144" s="967">
        <v>199085.39519800001</v>
      </c>
      <c r="S144" s="967">
        <v>217858.12662</v>
      </c>
      <c r="T144" s="967">
        <v>522978.49319100002</v>
      </c>
      <c r="W144" s="916"/>
      <c r="X144" s="916"/>
      <c r="Y144" s="916"/>
      <c r="Z144" s="916"/>
      <c r="AA144" s="916"/>
      <c r="AB144" s="916"/>
      <c r="AC144" s="916"/>
      <c r="AD144" s="916"/>
      <c r="AE144" s="916"/>
      <c r="AF144" s="916"/>
      <c r="AG144" s="916"/>
      <c r="AH144" s="916"/>
    </row>
    <row r="145" spans="1:20" ht="15.75" thickTop="1" x14ac:dyDescent="0.25">
      <c r="A145" s="935" t="s">
        <v>963</v>
      </c>
      <c r="B145" s="969">
        <v>10357.237252999999</v>
      </c>
      <c r="C145" s="969">
        <v>4911.0752949999996</v>
      </c>
      <c r="D145" s="970"/>
      <c r="E145" s="969">
        <v>6691.1345799999999</v>
      </c>
      <c r="F145" s="969">
        <v>2902.968261</v>
      </c>
      <c r="G145" s="970"/>
      <c r="H145" s="969">
        <v>245.480805</v>
      </c>
      <c r="I145" s="971">
        <v>25107.896194000001</v>
      </c>
      <c r="J145" s="969">
        <v>11263.115678</v>
      </c>
      <c r="K145" s="969">
        <v>8789.1072939999995</v>
      </c>
      <c r="L145" s="969">
        <v>4097.0835539999998</v>
      </c>
      <c r="M145" s="969"/>
      <c r="N145" s="971">
        <v>24149.306526</v>
      </c>
      <c r="O145" s="972">
        <v>49257.202720000001</v>
      </c>
      <c r="P145" s="969">
        <v>24522.927942999999</v>
      </c>
      <c r="Q145" s="969">
        <v>1921.274257</v>
      </c>
      <c r="R145" s="969">
        <v>5100.4758979999997</v>
      </c>
      <c r="S145" s="969">
        <v>11236.268701999999</v>
      </c>
      <c r="T145" s="972">
        <v>18258.018856999999</v>
      </c>
    </row>
    <row r="146" spans="1:20" x14ac:dyDescent="0.25">
      <c r="A146" s="938" t="s">
        <v>964</v>
      </c>
      <c r="B146" s="919">
        <v>12679.106578999999</v>
      </c>
      <c r="C146" s="919">
        <v>3744.835908</v>
      </c>
      <c r="D146" s="920" t="s">
        <v>921</v>
      </c>
      <c r="E146" s="919">
        <v>16889.660604000001</v>
      </c>
      <c r="F146" s="919">
        <v>817.50646200000006</v>
      </c>
      <c r="G146" s="920"/>
      <c r="H146" s="919">
        <v>89.171094999999994</v>
      </c>
      <c r="I146" s="973">
        <v>34220.280648</v>
      </c>
      <c r="J146" s="919">
        <v>10355.473559</v>
      </c>
      <c r="K146" s="919">
        <v>12209.718785999999</v>
      </c>
      <c r="L146" s="919">
        <v>5242.0419869999996</v>
      </c>
      <c r="M146" s="919" t="s">
        <v>921</v>
      </c>
      <c r="N146" s="973">
        <v>27859.918196999999</v>
      </c>
      <c r="O146" s="974">
        <v>62080.198844999999</v>
      </c>
      <c r="P146" s="919">
        <v>38459.356440000003</v>
      </c>
      <c r="Q146" s="919">
        <v>2144.3034600000001</v>
      </c>
      <c r="R146" s="919">
        <v>2235.3017789999999</v>
      </c>
      <c r="S146" s="919">
        <v>14867.930351999999</v>
      </c>
      <c r="T146" s="974">
        <v>19247.535591</v>
      </c>
    </row>
    <row r="147" spans="1:20" x14ac:dyDescent="0.25">
      <c r="A147" s="938" t="s">
        <v>965</v>
      </c>
      <c r="B147" s="919">
        <v>3411.3513109999999</v>
      </c>
      <c r="C147" s="919">
        <v>1402.3747289999999</v>
      </c>
      <c r="D147" s="920"/>
      <c r="E147" s="919">
        <v>707.28198199999997</v>
      </c>
      <c r="F147" s="919">
        <v>809.80451300000004</v>
      </c>
      <c r="G147" s="920"/>
      <c r="H147" s="919">
        <v>78.893991</v>
      </c>
      <c r="I147" s="973">
        <v>6409.7065259999999</v>
      </c>
      <c r="J147" s="919">
        <v>1828.688807</v>
      </c>
      <c r="K147" s="919">
        <v>2511.8991139999998</v>
      </c>
      <c r="L147" s="919" t="s">
        <v>921</v>
      </c>
      <c r="M147" s="919"/>
      <c r="N147" s="973">
        <v>4756.8224879999998</v>
      </c>
      <c r="O147" s="974">
        <v>11166.529014</v>
      </c>
      <c r="P147" s="919">
        <v>6067.9766220000001</v>
      </c>
      <c r="Q147" s="919">
        <v>118.878902</v>
      </c>
      <c r="R147" s="919">
        <v>1688.0074540000001</v>
      </c>
      <c r="S147" s="919">
        <v>3359.1234370000002</v>
      </c>
      <c r="T147" s="974">
        <v>5166.0097930000002</v>
      </c>
    </row>
    <row r="148" spans="1:20" x14ac:dyDescent="0.25">
      <c r="A148" s="938" t="s">
        <v>966</v>
      </c>
      <c r="B148" s="919">
        <v>1458.331807</v>
      </c>
      <c r="C148" s="919">
        <v>160.03475299999999</v>
      </c>
      <c r="D148" s="920"/>
      <c r="E148" s="919">
        <v>790.90274799999997</v>
      </c>
      <c r="F148" s="919"/>
      <c r="G148" s="920"/>
      <c r="H148" s="919">
        <v>29.086554</v>
      </c>
      <c r="I148" s="973">
        <v>2438.3558619999999</v>
      </c>
      <c r="J148" s="919"/>
      <c r="K148" s="919" t="s">
        <v>921</v>
      </c>
      <c r="L148" s="919" t="s">
        <v>921</v>
      </c>
      <c r="M148" s="919"/>
      <c r="N148" s="973">
        <v>1615.668946</v>
      </c>
      <c r="O148" s="974">
        <v>4054.0248080000001</v>
      </c>
      <c r="P148" s="919">
        <v>1823.808184</v>
      </c>
      <c r="Q148" s="919">
        <v>219.06877</v>
      </c>
      <c r="R148" s="919">
        <v>1896.738503</v>
      </c>
      <c r="S148" s="919">
        <v>385.42998299999999</v>
      </c>
      <c r="T148" s="974">
        <v>2501.2372559999999</v>
      </c>
    </row>
    <row r="149" spans="1:20" x14ac:dyDescent="0.25">
      <c r="A149" s="938" t="s">
        <v>967</v>
      </c>
      <c r="B149" s="919">
        <v>10246.780712</v>
      </c>
      <c r="C149" s="919">
        <v>9960.4474219999993</v>
      </c>
      <c r="D149" s="920"/>
      <c r="E149" s="919">
        <v>5254.4765470000002</v>
      </c>
      <c r="F149" s="919">
        <v>1636.748793</v>
      </c>
      <c r="G149" s="920" t="s">
        <v>921</v>
      </c>
      <c r="H149" s="919">
        <v>790.34944399999995</v>
      </c>
      <c r="I149" s="973">
        <v>27888.802918000001</v>
      </c>
      <c r="J149" s="919">
        <v>18908.74955</v>
      </c>
      <c r="K149" s="919">
        <v>20913.690396000002</v>
      </c>
      <c r="L149" s="919">
        <v>13568.209604</v>
      </c>
      <c r="M149" s="919" t="s">
        <v>921</v>
      </c>
      <c r="N149" s="973">
        <v>53451.679271000001</v>
      </c>
      <c r="O149" s="974">
        <v>81340.482189000002</v>
      </c>
      <c r="P149" s="919">
        <v>55407.104154000001</v>
      </c>
      <c r="Q149" s="919">
        <v>2308.5644309999998</v>
      </c>
      <c r="R149" s="919">
        <v>5659.9631390000004</v>
      </c>
      <c r="S149" s="919">
        <v>31178.245371000001</v>
      </c>
      <c r="T149" s="974">
        <v>39146.772941000003</v>
      </c>
    </row>
    <row r="150" spans="1:20" x14ac:dyDescent="0.25">
      <c r="A150" s="938" t="s">
        <v>968</v>
      </c>
      <c r="B150" s="919">
        <v>1952.9934020000001</v>
      </c>
      <c r="C150" s="919">
        <v>2980.9731259999999</v>
      </c>
      <c r="D150" s="920"/>
      <c r="E150" s="919">
        <v>11424.547431000001</v>
      </c>
      <c r="F150" s="919">
        <v>37.594183999999998</v>
      </c>
      <c r="G150" s="920"/>
      <c r="H150" s="919" t="s">
        <v>921</v>
      </c>
      <c r="I150" s="973">
        <v>16417.842981999998</v>
      </c>
      <c r="J150" s="919">
        <v>25300.547333999999</v>
      </c>
      <c r="K150" s="919" t="s">
        <v>921</v>
      </c>
      <c r="L150" s="919">
        <v>2168.6359229999998</v>
      </c>
      <c r="M150" s="919">
        <v>20.103842</v>
      </c>
      <c r="N150" s="973">
        <v>28631.330159000001</v>
      </c>
      <c r="O150" s="974">
        <v>45049.173140999999</v>
      </c>
      <c r="P150" s="919">
        <v>39976.276466000003</v>
      </c>
      <c r="Q150" s="919">
        <v>1367.553371</v>
      </c>
      <c r="R150" s="919">
        <v>1220.0653219999999</v>
      </c>
      <c r="S150" s="919">
        <v>4281.8230059999996</v>
      </c>
      <c r="T150" s="974">
        <v>6869.441699</v>
      </c>
    </row>
    <row r="151" spans="1:20" x14ac:dyDescent="0.25">
      <c r="A151" s="938" t="s">
        <v>969</v>
      </c>
      <c r="B151" s="919"/>
      <c r="C151" s="919"/>
      <c r="D151" s="920"/>
      <c r="E151" s="919"/>
      <c r="F151" s="919"/>
      <c r="G151" s="920"/>
      <c r="H151" s="919"/>
      <c r="I151" s="973"/>
      <c r="J151" s="919"/>
      <c r="K151" s="919"/>
      <c r="L151" s="919"/>
      <c r="M151" s="919"/>
      <c r="N151" s="973"/>
      <c r="O151" s="974"/>
      <c r="P151" s="919"/>
      <c r="Q151" s="919"/>
      <c r="R151" s="919"/>
      <c r="S151" s="919"/>
      <c r="T151" s="974"/>
    </row>
    <row r="152" spans="1:20" x14ac:dyDescent="0.25">
      <c r="A152" s="938" t="s">
        <v>970</v>
      </c>
      <c r="B152" s="919">
        <v>8316.3000769999999</v>
      </c>
      <c r="C152" s="919">
        <v>7782.6832990000003</v>
      </c>
      <c r="D152" s="920"/>
      <c r="E152" s="919">
        <v>2473.994807</v>
      </c>
      <c r="F152" s="919">
        <v>9567.410065</v>
      </c>
      <c r="G152" s="920"/>
      <c r="H152" s="919">
        <v>211.585599</v>
      </c>
      <c r="I152" s="973">
        <v>28351.973847000001</v>
      </c>
      <c r="J152" s="919">
        <v>5539.0722100000003</v>
      </c>
      <c r="K152" s="919">
        <v>5369.7722350000004</v>
      </c>
      <c r="L152" s="919">
        <v>5250.2182430000003</v>
      </c>
      <c r="M152" s="919"/>
      <c r="N152" s="973">
        <v>16159.062688</v>
      </c>
      <c r="O152" s="974">
        <v>44511.036534999999</v>
      </c>
      <c r="P152" s="919">
        <v>26306.595342000001</v>
      </c>
      <c r="Q152" s="919">
        <v>534.67597799999999</v>
      </c>
      <c r="R152" s="919">
        <v>1097.9477890000001</v>
      </c>
      <c r="S152" s="919">
        <v>10421.351664</v>
      </c>
      <c r="T152" s="974">
        <v>12053.975431000001</v>
      </c>
    </row>
    <row r="153" spans="1:20" x14ac:dyDescent="0.25">
      <c r="A153" s="938" t="s">
        <v>971</v>
      </c>
      <c r="B153" s="919">
        <v>10867.996173</v>
      </c>
      <c r="C153" s="919">
        <v>14251.124243</v>
      </c>
      <c r="D153" s="920"/>
      <c r="E153" s="919">
        <v>9188.4492620000001</v>
      </c>
      <c r="F153" s="919">
        <v>11094.836641</v>
      </c>
      <c r="G153" s="920"/>
      <c r="H153" s="919">
        <v>1398.6375860000001</v>
      </c>
      <c r="I153" s="973">
        <v>46801.043904999999</v>
      </c>
      <c r="J153" s="919">
        <v>849.55109000000004</v>
      </c>
      <c r="K153" s="919">
        <v>1355.236541</v>
      </c>
      <c r="L153" s="919">
        <v>2880.9964380000001</v>
      </c>
      <c r="M153" s="919" t="s">
        <v>921</v>
      </c>
      <c r="N153" s="973">
        <v>5088.9574709999997</v>
      </c>
      <c r="O153" s="974">
        <v>51890.001376</v>
      </c>
      <c r="P153" s="919">
        <v>34049.641882000004</v>
      </c>
      <c r="Q153" s="919">
        <v>924.40735299999994</v>
      </c>
      <c r="R153" s="919">
        <v>5559.9645929999997</v>
      </c>
      <c r="S153" s="919">
        <v>13640.957592999999</v>
      </c>
      <c r="T153" s="974">
        <v>20125.329538999998</v>
      </c>
    </row>
    <row r="154" spans="1:20" x14ac:dyDescent="0.25">
      <c r="A154" s="938" t="s">
        <v>972</v>
      </c>
      <c r="B154" s="919">
        <v>18860.438427000001</v>
      </c>
      <c r="C154" s="919">
        <v>5649.929564</v>
      </c>
      <c r="D154" s="920"/>
      <c r="E154" s="919">
        <v>6909.6218689999996</v>
      </c>
      <c r="F154" s="919">
        <v>1098.296914</v>
      </c>
      <c r="G154" s="920" t="s">
        <v>921</v>
      </c>
      <c r="H154" s="919">
        <v>342.43265400000001</v>
      </c>
      <c r="I154" s="973">
        <v>32860.719427999997</v>
      </c>
      <c r="J154" s="919">
        <v>1892.184988</v>
      </c>
      <c r="K154" s="919" t="s">
        <v>921</v>
      </c>
      <c r="L154" s="919">
        <v>172.61444399999999</v>
      </c>
      <c r="M154" s="919" t="s">
        <v>921</v>
      </c>
      <c r="N154" s="973">
        <v>2320.5553289999998</v>
      </c>
      <c r="O154" s="974">
        <v>35181.274756999999</v>
      </c>
      <c r="P154" s="919">
        <v>12934.503108000001</v>
      </c>
      <c r="Q154" s="919">
        <v>2291.4635920000001</v>
      </c>
      <c r="R154" s="919">
        <v>5960.6307290000004</v>
      </c>
      <c r="S154" s="919">
        <v>11195.248087</v>
      </c>
      <c r="T154" s="974">
        <v>19447.342408</v>
      </c>
    </row>
    <row r="155" spans="1:20" x14ac:dyDescent="0.25">
      <c r="A155" s="938" t="s">
        <v>973</v>
      </c>
      <c r="B155" s="919">
        <v>8236.4794650000003</v>
      </c>
      <c r="C155" s="919">
        <v>1027.618252</v>
      </c>
      <c r="D155" s="920"/>
      <c r="E155" s="919">
        <v>2279.5639580000002</v>
      </c>
      <c r="F155" s="919">
        <v>676.40426200000002</v>
      </c>
      <c r="G155" s="920"/>
      <c r="H155" s="919">
        <v>26.701356000000001</v>
      </c>
      <c r="I155" s="973">
        <v>12246.767293000001</v>
      </c>
      <c r="J155" s="919">
        <v>237.59644700000001</v>
      </c>
      <c r="K155" s="919" t="s">
        <v>921</v>
      </c>
      <c r="L155" s="919">
        <v>90.142151999999996</v>
      </c>
      <c r="M155" s="919">
        <v>21.688132</v>
      </c>
      <c r="N155" s="973">
        <v>410.45886300000001</v>
      </c>
      <c r="O155" s="974">
        <v>12657.226156000001</v>
      </c>
      <c r="P155" s="919">
        <v>8322.2237499999992</v>
      </c>
      <c r="Q155" s="919">
        <v>175.06624199999999</v>
      </c>
      <c r="R155" s="919">
        <v>1993.107105</v>
      </c>
      <c r="S155" s="919">
        <v>5757.1417659999997</v>
      </c>
      <c r="T155" s="974">
        <v>7925.3151129999997</v>
      </c>
    </row>
    <row r="156" spans="1:20" x14ac:dyDescent="0.25">
      <c r="A156" s="938" t="s">
        <v>974</v>
      </c>
      <c r="B156" s="919">
        <v>4800.3534209999998</v>
      </c>
      <c r="C156" s="919">
        <v>573.20365600000002</v>
      </c>
      <c r="D156" s="920"/>
      <c r="E156" s="919">
        <v>849.77061900000001</v>
      </c>
      <c r="F156" s="919"/>
      <c r="G156" s="920"/>
      <c r="H156" s="919">
        <v>76.327163999999996</v>
      </c>
      <c r="I156" s="973">
        <v>6299.6548599999996</v>
      </c>
      <c r="J156" s="919" t="s">
        <v>921</v>
      </c>
      <c r="K156" s="919" t="s">
        <v>921</v>
      </c>
      <c r="L156" s="919" t="s">
        <v>921</v>
      </c>
      <c r="M156" s="919"/>
      <c r="N156" s="973">
        <v>1245.328947</v>
      </c>
      <c r="O156" s="974">
        <v>7544.9838069999996</v>
      </c>
      <c r="P156" s="919">
        <v>1411.5327150000001</v>
      </c>
      <c r="Q156" s="919">
        <v>360.79364099999998</v>
      </c>
      <c r="R156" s="919">
        <v>896.19899399999997</v>
      </c>
      <c r="S156" s="919">
        <v>3656.0480640000001</v>
      </c>
      <c r="T156" s="974">
        <v>4913.0406990000001</v>
      </c>
    </row>
    <row r="157" spans="1:20" x14ac:dyDescent="0.25">
      <c r="A157" s="938" t="s">
        <v>975</v>
      </c>
      <c r="B157" s="919">
        <v>14689.040693000001</v>
      </c>
      <c r="C157" s="919">
        <v>10353.506711</v>
      </c>
      <c r="D157" s="920"/>
      <c r="E157" s="919">
        <v>4620.4478349999999</v>
      </c>
      <c r="F157" s="919">
        <v>2883.9730439999998</v>
      </c>
      <c r="G157" s="920"/>
      <c r="H157" s="919">
        <v>592.68724699999996</v>
      </c>
      <c r="I157" s="973">
        <v>33139.655530000004</v>
      </c>
      <c r="J157" s="919">
        <v>6164.4474980000005</v>
      </c>
      <c r="K157" s="919">
        <v>1562.909122</v>
      </c>
      <c r="L157" s="919">
        <v>1806.7836500000001</v>
      </c>
      <c r="M157" s="919"/>
      <c r="N157" s="973">
        <v>9534.1402699999999</v>
      </c>
      <c r="O157" s="974">
        <v>42673.7958</v>
      </c>
      <c r="P157" s="919">
        <v>26967.374089000001</v>
      </c>
      <c r="Q157" s="919">
        <v>221.935428</v>
      </c>
      <c r="R157" s="919">
        <v>6375.3698279999999</v>
      </c>
      <c r="S157" s="919">
        <v>16844.077572999999</v>
      </c>
      <c r="T157" s="974">
        <v>23441.382828999998</v>
      </c>
    </row>
    <row r="158" spans="1:20" x14ac:dyDescent="0.25">
      <c r="A158" s="938" t="s">
        <v>976</v>
      </c>
      <c r="B158" s="919">
        <v>865.68169399999999</v>
      </c>
      <c r="C158" s="919" t="s">
        <v>921</v>
      </c>
      <c r="D158" s="920"/>
      <c r="E158" s="919">
        <v>310.36381</v>
      </c>
      <c r="F158" s="919">
        <v>520.73249699999997</v>
      </c>
      <c r="G158" s="920"/>
      <c r="H158" s="919" t="s">
        <v>921</v>
      </c>
      <c r="I158" s="973">
        <v>1744.9610970000001</v>
      </c>
      <c r="J158" s="919">
        <v>4187.5789640000003</v>
      </c>
      <c r="K158" s="919"/>
      <c r="L158" s="919">
        <v>1811.5927959999999</v>
      </c>
      <c r="M158" s="919" t="s">
        <v>921</v>
      </c>
      <c r="N158" s="973">
        <v>7034.6759519999996</v>
      </c>
      <c r="O158" s="974">
        <v>8779.6370490000008</v>
      </c>
      <c r="P158" s="919">
        <v>4766.7318930000001</v>
      </c>
      <c r="Q158" s="919">
        <v>285.18959000000001</v>
      </c>
      <c r="R158" s="919">
        <v>152.91527400000001</v>
      </c>
      <c r="S158" s="919" t="s">
        <v>921</v>
      </c>
      <c r="T158" s="974">
        <v>537.28107</v>
      </c>
    </row>
    <row r="159" spans="1:20" x14ac:dyDescent="0.25">
      <c r="A159" s="938" t="s">
        <v>977</v>
      </c>
      <c r="B159" s="919">
        <v>9710.422697</v>
      </c>
      <c r="C159" s="919">
        <v>8608.9152849999991</v>
      </c>
      <c r="D159" s="920"/>
      <c r="E159" s="919">
        <v>5274.6921490000004</v>
      </c>
      <c r="F159" s="919">
        <v>2677.9849920000001</v>
      </c>
      <c r="G159" s="920"/>
      <c r="H159" s="919">
        <v>567.82408199999998</v>
      </c>
      <c r="I159" s="973">
        <v>26839.839205</v>
      </c>
      <c r="J159" s="919">
        <v>2980.0595619999999</v>
      </c>
      <c r="K159" s="919" t="s">
        <v>921</v>
      </c>
      <c r="L159" s="919">
        <v>4449.9782690000002</v>
      </c>
      <c r="M159" s="919">
        <v>26.229199999999999</v>
      </c>
      <c r="N159" s="973">
        <v>8193.2298549999996</v>
      </c>
      <c r="O159" s="974">
        <v>35033.069060000002</v>
      </c>
      <c r="P159" s="919">
        <v>14714.838876</v>
      </c>
      <c r="Q159" s="919">
        <v>4693.1785719999998</v>
      </c>
      <c r="R159" s="919">
        <v>11145.255913999999</v>
      </c>
      <c r="S159" s="919">
        <v>18243.068498000001</v>
      </c>
      <c r="T159" s="974">
        <v>34081.502983999999</v>
      </c>
    </row>
    <row r="160" spans="1:20" s="916" customFormat="1" x14ac:dyDescent="0.25">
      <c r="A160" s="910" t="s">
        <v>136</v>
      </c>
      <c r="B160" s="924">
        <v>30132.711985000002</v>
      </c>
      <c r="C160" s="924">
        <v>12009.942274000001</v>
      </c>
      <c r="D160" s="925"/>
      <c r="E160" s="924">
        <v>12417.515879</v>
      </c>
      <c r="F160" s="924">
        <v>2529.534725</v>
      </c>
      <c r="G160" s="925"/>
      <c r="H160" s="924">
        <v>629.62541199999998</v>
      </c>
      <c r="I160" s="941">
        <v>57719.330275</v>
      </c>
      <c r="J160" s="924">
        <v>62527.769594999998</v>
      </c>
      <c r="K160" s="924">
        <v>33846.240397000001</v>
      </c>
      <c r="L160" s="924">
        <v>46396.554731999997</v>
      </c>
      <c r="M160" s="924">
        <v>13841.262379</v>
      </c>
      <c r="N160" s="941">
        <v>156611.82710299999</v>
      </c>
      <c r="O160" s="941">
        <v>214331.157378</v>
      </c>
      <c r="P160" s="924">
        <v>132761.918989</v>
      </c>
      <c r="Q160" s="924">
        <v>5572.3640580000001</v>
      </c>
      <c r="R160" s="924">
        <v>15760.541166000001</v>
      </c>
      <c r="S160" s="924">
        <v>29546.433407</v>
      </c>
      <c r="T160" s="941">
        <v>50879.338630999999</v>
      </c>
    </row>
    <row r="161" spans="1:20" x14ac:dyDescent="0.25">
      <c r="A161" s="939" t="s">
        <v>978</v>
      </c>
      <c r="B161" s="919">
        <v>201.997985</v>
      </c>
      <c r="C161" s="919" t="s">
        <v>921</v>
      </c>
      <c r="D161" s="920"/>
      <c r="E161" s="919"/>
      <c r="F161" s="919"/>
      <c r="G161" s="920"/>
      <c r="H161" s="919"/>
      <c r="I161" s="973">
        <v>355.27205300000003</v>
      </c>
      <c r="J161" s="919" t="s">
        <v>921</v>
      </c>
      <c r="K161" s="919" t="s">
        <v>921</v>
      </c>
      <c r="L161" s="919"/>
      <c r="M161" s="919"/>
      <c r="N161" s="973" t="s">
        <v>921</v>
      </c>
      <c r="O161" s="974">
        <v>371.10128600000002</v>
      </c>
      <c r="P161" s="919">
        <v>21.026615</v>
      </c>
      <c r="Q161" s="919">
        <v>116.80125200000001</v>
      </c>
      <c r="R161" s="919">
        <v>27.243690000000001</v>
      </c>
      <c r="S161" s="919">
        <v>227.056344</v>
      </c>
      <c r="T161" s="974">
        <v>371.10128600000002</v>
      </c>
    </row>
    <row r="162" spans="1:20" x14ac:dyDescent="0.25">
      <c r="A162" s="939" t="s">
        <v>979</v>
      </c>
      <c r="B162" s="919" t="s">
        <v>921</v>
      </c>
      <c r="C162" s="919" t="s">
        <v>921</v>
      </c>
      <c r="D162" s="920"/>
      <c r="E162" s="919">
        <v>177.593931</v>
      </c>
      <c r="F162" s="919"/>
      <c r="G162" s="920"/>
      <c r="H162" s="919" t="s">
        <v>921</v>
      </c>
      <c r="I162" s="973">
        <v>204.95232899999999</v>
      </c>
      <c r="J162" s="919"/>
      <c r="K162" s="919"/>
      <c r="L162" s="919"/>
      <c r="M162" s="919"/>
      <c r="N162" s="973"/>
      <c r="O162" s="974">
        <v>204.95232899999999</v>
      </c>
      <c r="P162" s="919" t="s">
        <v>921</v>
      </c>
      <c r="Q162" s="919">
        <v>46.177979000000001</v>
      </c>
      <c r="R162" s="919">
        <v>158.77435</v>
      </c>
      <c r="S162" s="919"/>
      <c r="T162" s="974">
        <v>204.95232899999999</v>
      </c>
    </row>
    <row r="163" spans="1:20" x14ac:dyDescent="0.25">
      <c r="A163" s="939" t="s">
        <v>980</v>
      </c>
      <c r="B163" s="919">
        <v>144.524193</v>
      </c>
      <c r="C163" s="919">
        <v>107.955651</v>
      </c>
      <c r="D163" s="920"/>
      <c r="E163" s="919">
        <v>521.98343799999998</v>
      </c>
      <c r="F163" s="919" t="s">
        <v>921</v>
      </c>
      <c r="G163" s="920"/>
      <c r="H163" s="919">
        <v>16.962921000000001</v>
      </c>
      <c r="I163" s="973">
        <v>876.694661</v>
      </c>
      <c r="J163" s="919"/>
      <c r="K163" s="919"/>
      <c r="L163" s="919"/>
      <c r="M163" s="919"/>
      <c r="N163" s="973"/>
      <c r="O163" s="974">
        <v>876.694661</v>
      </c>
      <c r="P163" s="919">
        <v>218.83828800000001</v>
      </c>
      <c r="Q163" s="919">
        <v>182.14119700000001</v>
      </c>
      <c r="R163" s="919">
        <v>694.55346399999996</v>
      </c>
      <c r="S163" s="919"/>
      <c r="T163" s="974">
        <v>876.694661</v>
      </c>
    </row>
    <row r="164" spans="1:20" x14ac:dyDescent="0.25">
      <c r="A164" s="939" t="s">
        <v>981</v>
      </c>
      <c r="B164" s="919" t="s">
        <v>921</v>
      </c>
      <c r="C164" s="919"/>
      <c r="D164" s="920"/>
      <c r="E164" s="919"/>
      <c r="F164" s="919" t="s">
        <v>921</v>
      </c>
      <c r="G164" s="920"/>
      <c r="H164" s="919"/>
      <c r="I164" s="973">
        <v>4219.8314350000001</v>
      </c>
      <c r="J164" s="919">
        <v>35993.302728000002</v>
      </c>
      <c r="K164" s="919" t="s">
        <v>921</v>
      </c>
      <c r="L164" s="919">
        <v>29792.289177999999</v>
      </c>
      <c r="M164" s="919">
        <v>13746.912737000001</v>
      </c>
      <c r="N164" s="973">
        <v>88926.052656</v>
      </c>
      <c r="O164" s="974">
        <v>93145.884091</v>
      </c>
      <c r="P164" s="919">
        <v>53676.282359999997</v>
      </c>
      <c r="Q164" s="919"/>
      <c r="R164" s="919">
        <v>1942.4897100000001</v>
      </c>
      <c r="S164" s="919"/>
      <c r="T164" s="974">
        <v>1942.4897100000001</v>
      </c>
    </row>
    <row r="165" spans="1:20" x14ac:dyDescent="0.25">
      <c r="A165" s="939" t="s">
        <v>982</v>
      </c>
      <c r="B165" s="919"/>
      <c r="C165" s="919"/>
      <c r="D165" s="920"/>
      <c r="E165" s="919"/>
      <c r="F165" s="919"/>
      <c r="G165" s="920"/>
      <c r="H165" s="919"/>
      <c r="I165" s="973"/>
      <c r="J165" s="919"/>
      <c r="K165" s="919"/>
      <c r="L165" s="919" t="s">
        <v>921</v>
      </c>
      <c r="M165" s="919"/>
      <c r="N165" s="973" t="s">
        <v>921</v>
      </c>
      <c r="O165" s="974" t="s">
        <v>921</v>
      </c>
      <c r="P165" s="919" t="s">
        <v>921</v>
      </c>
      <c r="Q165" s="919"/>
      <c r="R165" s="919"/>
      <c r="S165" s="919"/>
      <c r="T165" s="974"/>
    </row>
    <row r="166" spans="1:20" x14ac:dyDescent="0.25">
      <c r="A166" s="939" t="s">
        <v>983</v>
      </c>
      <c r="B166" s="919">
        <v>2916.3815749999999</v>
      </c>
      <c r="C166" s="919">
        <v>793.03140599999995</v>
      </c>
      <c r="D166" s="920"/>
      <c r="E166" s="919">
        <v>2514.618786</v>
      </c>
      <c r="F166" s="919">
        <v>85.319900000000004</v>
      </c>
      <c r="G166" s="920"/>
      <c r="H166" s="919">
        <v>44.96566</v>
      </c>
      <c r="I166" s="973">
        <v>6354.3173269999998</v>
      </c>
      <c r="J166" s="919">
        <v>16655.611742000001</v>
      </c>
      <c r="K166" s="919">
        <v>1210.309391</v>
      </c>
      <c r="L166" s="919">
        <v>2686.1468829999999</v>
      </c>
      <c r="M166" s="919"/>
      <c r="N166" s="973">
        <v>20552.068016000001</v>
      </c>
      <c r="O166" s="974">
        <v>26906.385343000002</v>
      </c>
      <c r="P166" s="919">
        <v>21703.933976</v>
      </c>
      <c r="Q166" s="919">
        <v>496.230233</v>
      </c>
      <c r="R166" s="919">
        <v>3306.608913</v>
      </c>
      <c r="S166" s="919">
        <v>5915.8269650000002</v>
      </c>
      <c r="T166" s="974">
        <v>9718.6661110000005</v>
      </c>
    </row>
    <row r="167" spans="1:20" x14ac:dyDescent="0.25">
      <c r="A167" s="939" t="s">
        <v>984</v>
      </c>
      <c r="B167" s="919">
        <v>1033.1936069999999</v>
      </c>
      <c r="C167" s="919">
        <v>562.92047700000001</v>
      </c>
      <c r="D167" s="920"/>
      <c r="E167" s="919">
        <v>607.90733</v>
      </c>
      <c r="F167" s="919"/>
      <c r="G167" s="920"/>
      <c r="H167" s="919" t="s">
        <v>921</v>
      </c>
      <c r="I167" s="973">
        <v>2204.2286810000001</v>
      </c>
      <c r="J167" s="919">
        <v>42.355437999999999</v>
      </c>
      <c r="K167" s="919"/>
      <c r="L167" s="919"/>
      <c r="M167" s="919"/>
      <c r="N167" s="973">
        <v>42.355437999999999</v>
      </c>
      <c r="O167" s="974">
        <v>2246.5841190000001</v>
      </c>
      <c r="P167" s="919">
        <v>681.44402500000001</v>
      </c>
      <c r="Q167" s="919">
        <v>104.31183900000001</v>
      </c>
      <c r="R167" s="919">
        <v>288.657355</v>
      </c>
      <c r="S167" s="919">
        <v>1514.2947180000001</v>
      </c>
      <c r="T167" s="974">
        <v>1907.2639119999999</v>
      </c>
    </row>
    <row r="168" spans="1:20" x14ac:dyDescent="0.25">
      <c r="A168" s="939" t="s">
        <v>985</v>
      </c>
      <c r="B168" s="919">
        <v>1518.7686040000001</v>
      </c>
      <c r="C168" s="919">
        <v>4028.8676139999998</v>
      </c>
      <c r="D168" s="920"/>
      <c r="E168" s="919">
        <v>396.45990899999998</v>
      </c>
      <c r="F168" s="919" t="s">
        <v>921</v>
      </c>
      <c r="G168" s="920"/>
      <c r="H168" s="919"/>
      <c r="I168" s="973">
        <v>6118.8341710000004</v>
      </c>
      <c r="J168" s="919"/>
      <c r="K168" s="919" t="s">
        <v>921</v>
      </c>
      <c r="L168" s="919">
        <v>202.108418</v>
      </c>
      <c r="M168" s="919"/>
      <c r="N168" s="973">
        <v>1257.259491</v>
      </c>
      <c r="O168" s="974">
        <v>7376.0936620000002</v>
      </c>
      <c r="P168" s="919">
        <v>2950.9509720000001</v>
      </c>
      <c r="Q168" s="919">
        <v>186.149395</v>
      </c>
      <c r="R168" s="919">
        <v>1135.6204339999999</v>
      </c>
      <c r="S168" s="919">
        <v>613.87813900000003</v>
      </c>
      <c r="T168" s="974">
        <v>1935.647968</v>
      </c>
    </row>
    <row r="169" spans="1:20" x14ac:dyDescent="0.25">
      <c r="A169" s="939" t="s">
        <v>986</v>
      </c>
      <c r="B169" s="919">
        <v>995.72504600000002</v>
      </c>
      <c r="C169" s="919">
        <v>1062.2178610000001</v>
      </c>
      <c r="D169" s="920"/>
      <c r="E169" s="919">
        <v>574.91802299999995</v>
      </c>
      <c r="F169" s="919">
        <v>151.06911700000001</v>
      </c>
      <c r="G169" s="920"/>
      <c r="H169" s="919"/>
      <c r="I169" s="973">
        <v>2783.9300469999998</v>
      </c>
      <c r="J169" s="919" t="s">
        <v>921</v>
      </c>
      <c r="K169" s="919"/>
      <c r="L169" s="919">
        <v>159.86376300000001</v>
      </c>
      <c r="M169" s="919"/>
      <c r="N169" s="973">
        <v>530.68001300000003</v>
      </c>
      <c r="O169" s="974">
        <v>3314.61006</v>
      </c>
      <c r="P169" s="919">
        <v>726.36704099999997</v>
      </c>
      <c r="Q169" s="919">
        <v>78.206963999999999</v>
      </c>
      <c r="R169" s="919">
        <v>408.93163099999998</v>
      </c>
      <c r="S169" s="919">
        <v>1240.2693899999999</v>
      </c>
      <c r="T169" s="974">
        <v>1727.4079850000001</v>
      </c>
    </row>
    <row r="170" spans="1:20" x14ac:dyDescent="0.25">
      <c r="A170" s="939" t="s">
        <v>987</v>
      </c>
      <c r="B170" s="919" t="s">
        <v>921</v>
      </c>
      <c r="C170" s="919">
        <v>17.203703000000001</v>
      </c>
      <c r="D170" s="920"/>
      <c r="E170" s="919">
        <v>51.996975999999997</v>
      </c>
      <c r="F170" s="919"/>
      <c r="G170" s="920"/>
      <c r="H170" s="919"/>
      <c r="I170" s="973">
        <v>72.253446999999994</v>
      </c>
      <c r="J170" s="919" t="s">
        <v>921</v>
      </c>
      <c r="K170" s="919" t="s">
        <v>921</v>
      </c>
      <c r="L170" s="919"/>
      <c r="M170" s="919"/>
      <c r="N170" s="973">
        <v>1689.986285</v>
      </c>
      <c r="O170" s="974">
        <v>1762.239732</v>
      </c>
      <c r="P170" s="919">
        <v>1689.9909520000001</v>
      </c>
      <c r="Q170" s="919">
        <v>28.957902000000001</v>
      </c>
      <c r="R170" s="919">
        <v>43.295544999999997</v>
      </c>
      <c r="S170" s="919" t="s">
        <v>921</v>
      </c>
      <c r="T170" s="974">
        <v>677.75518299999999</v>
      </c>
    </row>
    <row r="171" spans="1:20" x14ac:dyDescent="0.25">
      <c r="A171" s="939" t="s">
        <v>988</v>
      </c>
      <c r="B171" s="919">
        <v>2126.106385</v>
      </c>
      <c r="C171" s="919">
        <v>933.82899899999995</v>
      </c>
      <c r="D171" s="920"/>
      <c r="E171" s="919">
        <v>2656.208952</v>
      </c>
      <c r="F171" s="919">
        <v>197.59573399999999</v>
      </c>
      <c r="G171" s="920"/>
      <c r="H171" s="919">
        <v>173.24513999999999</v>
      </c>
      <c r="I171" s="973">
        <v>6086.9852099999998</v>
      </c>
      <c r="J171" s="919">
        <v>7897.3177189999997</v>
      </c>
      <c r="K171" s="919">
        <v>1521.556828</v>
      </c>
      <c r="L171" s="919">
        <v>3205.1014620000001</v>
      </c>
      <c r="M171" s="919"/>
      <c r="N171" s="973">
        <v>12623.976009</v>
      </c>
      <c r="O171" s="974">
        <v>18710.961219000001</v>
      </c>
      <c r="P171" s="919">
        <v>8818.0206629999993</v>
      </c>
      <c r="Q171" s="919">
        <v>919.32385799999997</v>
      </c>
      <c r="R171" s="919">
        <v>2982.7344309999999</v>
      </c>
      <c r="S171" s="919">
        <v>6736.7653099999998</v>
      </c>
      <c r="T171" s="974">
        <v>10638.823598999999</v>
      </c>
    </row>
    <row r="172" spans="1:20" x14ac:dyDescent="0.25">
      <c r="A172" s="939" t="s">
        <v>989</v>
      </c>
      <c r="B172" s="919">
        <v>718.090419</v>
      </c>
      <c r="C172" s="919">
        <v>599.53886999999997</v>
      </c>
      <c r="D172" s="920"/>
      <c r="E172" s="919">
        <v>1020.606115</v>
      </c>
      <c r="F172" s="919">
        <v>18.460661000000002</v>
      </c>
      <c r="G172" s="920"/>
      <c r="H172" s="919">
        <v>20.292546999999999</v>
      </c>
      <c r="I172" s="973">
        <v>2376.9886120000001</v>
      </c>
      <c r="J172" s="919">
        <v>529.95257400000003</v>
      </c>
      <c r="K172" s="919"/>
      <c r="L172" s="919" t="s">
        <v>921</v>
      </c>
      <c r="M172" s="919"/>
      <c r="N172" s="973">
        <v>824.50387799999999</v>
      </c>
      <c r="O172" s="974">
        <v>3201.4924900000001</v>
      </c>
      <c r="P172" s="919">
        <v>1387.208699</v>
      </c>
      <c r="Q172" s="919">
        <v>665.64914599999997</v>
      </c>
      <c r="R172" s="919">
        <v>886.178811</v>
      </c>
      <c r="S172" s="919">
        <v>875.12977799999999</v>
      </c>
      <c r="T172" s="974">
        <v>2426.957735</v>
      </c>
    </row>
    <row r="173" spans="1:20" x14ac:dyDescent="0.25">
      <c r="A173" s="939" t="s">
        <v>990</v>
      </c>
      <c r="B173" s="919">
        <v>240.25519199999999</v>
      </c>
      <c r="C173" s="919">
        <v>76.77122</v>
      </c>
      <c r="D173" s="920"/>
      <c r="E173" s="919">
        <v>196.44461799999999</v>
      </c>
      <c r="F173" s="919"/>
      <c r="G173" s="920"/>
      <c r="H173" s="919" t="s">
        <v>921</v>
      </c>
      <c r="I173" s="973">
        <v>676.469109</v>
      </c>
      <c r="J173" s="919"/>
      <c r="K173" s="919"/>
      <c r="L173" s="919" t="s">
        <v>921</v>
      </c>
      <c r="M173" s="919"/>
      <c r="N173" s="973" t="s">
        <v>921</v>
      </c>
      <c r="O173" s="974">
        <v>710.22870999999998</v>
      </c>
      <c r="P173" s="919">
        <v>252.84288699999999</v>
      </c>
      <c r="Q173" s="919">
        <v>165.77802500000001</v>
      </c>
      <c r="R173" s="919">
        <v>537.70453599999996</v>
      </c>
      <c r="S173" s="919"/>
      <c r="T173" s="974">
        <v>703.48256100000003</v>
      </c>
    </row>
    <row r="174" spans="1:20" x14ac:dyDescent="0.25">
      <c r="A174" s="939" t="s">
        <v>991</v>
      </c>
      <c r="B174" s="919"/>
      <c r="C174" s="919"/>
      <c r="D174" s="920"/>
      <c r="E174" s="919" t="s">
        <v>921</v>
      </c>
      <c r="F174" s="919"/>
      <c r="G174" s="920"/>
      <c r="H174" s="919"/>
      <c r="I174" s="973" t="s">
        <v>921</v>
      </c>
      <c r="J174" s="919"/>
      <c r="K174" s="919"/>
      <c r="L174" s="919"/>
      <c r="M174" s="919"/>
      <c r="N174" s="973"/>
      <c r="O174" s="974" t="s">
        <v>921</v>
      </c>
      <c r="P174" s="919" t="s">
        <v>921</v>
      </c>
      <c r="Q174" s="919" t="s">
        <v>921</v>
      </c>
      <c r="R174" s="919"/>
      <c r="S174" s="919"/>
      <c r="T174" s="974" t="s">
        <v>921</v>
      </c>
    </row>
    <row r="175" spans="1:20" x14ac:dyDescent="0.25">
      <c r="A175" s="939" t="s">
        <v>992</v>
      </c>
      <c r="B175" s="919">
        <v>1400.6583599999999</v>
      </c>
      <c r="C175" s="919">
        <v>601.56347800000003</v>
      </c>
      <c r="D175" s="920"/>
      <c r="E175" s="919">
        <v>544.08579199999997</v>
      </c>
      <c r="F175" s="919" t="s">
        <v>921</v>
      </c>
      <c r="G175" s="920"/>
      <c r="H175" s="919">
        <v>152.60396700000001</v>
      </c>
      <c r="I175" s="973">
        <v>2768.469106</v>
      </c>
      <c r="J175" s="919"/>
      <c r="K175" s="919"/>
      <c r="L175" s="919">
        <v>172.06625299999999</v>
      </c>
      <c r="M175" s="919"/>
      <c r="N175" s="973">
        <v>172.06625299999999</v>
      </c>
      <c r="O175" s="974">
        <v>2940.535359</v>
      </c>
      <c r="P175" s="919">
        <v>756.19708500000002</v>
      </c>
      <c r="Q175" s="919">
        <v>308.842105</v>
      </c>
      <c r="R175" s="919">
        <v>1135.4898310000001</v>
      </c>
      <c r="S175" s="919">
        <v>1254.017542</v>
      </c>
      <c r="T175" s="974">
        <v>2698.3494780000001</v>
      </c>
    </row>
    <row r="176" spans="1:20" x14ac:dyDescent="0.25">
      <c r="A176" s="939" t="s">
        <v>993</v>
      </c>
      <c r="B176" s="919"/>
      <c r="C176" s="919"/>
      <c r="D176" s="920"/>
      <c r="E176" s="919"/>
      <c r="F176" s="919"/>
      <c r="G176" s="920"/>
      <c r="H176" s="919"/>
      <c r="I176" s="973"/>
      <c r="J176" s="919"/>
      <c r="K176" s="919"/>
      <c r="L176" s="919" t="s">
        <v>921</v>
      </c>
      <c r="M176" s="919"/>
      <c r="N176" s="973" t="s">
        <v>921</v>
      </c>
      <c r="O176" s="974" t="s">
        <v>921</v>
      </c>
      <c r="P176" s="919" t="s">
        <v>921</v>
      </c>
      <c r="Q176" s="919"/>
      <c r="R176" s="919"/>
      <c r="S176" s="919" t="s">
        <v>921</v>
      </c>
      <c r="T176" s="974" t="s">
        <v>921</v>
      </c>
    </row>
    <row r="177" spans="1:20" x14ac:dyDescent="0.25">
      <c r="A177" s="939" t="s">
        <v>994</v>
      </c>
      <c r="B177" s="919">
        <v>12057.698521</v>
      </c>
      <c r="C177" s="919">
        <v>3050.6596840000002</v>
      </c>
      <c r="D177" s="920"/>
      <c r="E177" s="919">
        <v>3147.5372259999999</v>
      </c>
      <c r="F177" s="919">
        <v>1068.50224</v>
      </c>
      <c r="G177" s="920"/>
      <c r="H177" s="919">
        <v>56.751632999999998</v>
      </c>
      <c r="I177" s="973">
        <v>19381.149303999999</v>
      </c>
      <c r="J177" s="919" t="s">
        <v>921</v>
      </c>
      <c r="K177" s="919">
        <v>17986.174031999999</v>
      </c>
      <c r="L177" s="919">
        <v>9847.3747010000006</v>
      </c>
      <c r="M177" s="919" t="s">
        <v>921</v>
      </c>
      <c r="N177" s="973">
        <v>28356.044053000001</v>
      </c>
      <c r="O177" s="974">
        <v>47737.193356999996</v>
      </c>
      <c r="P177" s="919">
        <v>35030.500603</v>
      </c>
      <c r="Q177" s="919">
        <v>2273.7933320000002</v>
      </c>
      <c r="R177" s="919">
        <v>2212.2584649999999</v>
      </c>
      <c r="S177" s="919">
        <v>10563.593010000001</v>
      </c>
      <c r="T177" s="974">
        <v>15049.644807000001</v>
      </c>
    </row>
    <row r="178" spans="1:20" x14ac:dyDescent="0.25">
      <c r="A178" s="939" t="s">
        <v>995</v>
      </c>
      <c r="B178" s="919" t="s">
        <v>921</v>
      </c>
      <c r="C178" s="919"/>
      <c r="D178" s="920"/>
      <c r="E178" s="919" t="s">
        <v>921</v>
      </c>
      <c r="F178" s="919"/>
      <c r="G178" s="920"/>
      <c r="H178" s="919"/>
      <c r="I178" s="973">
        <v>3238.9539519999998</v>
      </c>
      <c r="J178" s="919"/>
      <c r="K178" s="919" t="s">
        <v>921</v>
      </c>
      <c r="L178" s="919"/>
      <c r="M178" s="919"/>
      <c r="N178" s="973" t="s">
        <v>921</v>
      </c>
      <c r="O178" s="974">
        <v>4822.9069600000003</v>
      </c>
      <c r="P178" s="919">
        <v>4822.9069600000003</v>
      </c>
      <c r="Q178" s="919"/>
      <c r="R178" s="919"/>
      <c r="S178" s="919"/>
      <c r="T178" s="974"/>
    </row>
    <row r="179" spans="1:20" s="933" customFormat="1" x14ac:dyDescent="0.25">
      <c r="A179" s="910" t="s">
        <v>137</v>
      </c>
      <c r="B179" s="941">
        <v>146585.22569600001</v>
      </c>
      <c r="C179" s="941">
        <v>83420.726628000004</v>
      </c>
      <c r="D179" s="942" t="s">
        <v>921</v>
      </c>
      <c r="E179" s="941">
        <v>86082.424079999997</v>
      </c>
      <c r="F179" s="941">
        <v>37253.795353000001</v>
      </c>
      <c r="G179" s="942">
        <v>696.61022500000001</v>
      </c>
      <c r="H179" s="941">
        <v>5144.658813</v>
      </c>
      <c r="I179" s="941">
        <v>358486.83056999999</v>
      </c>
      <c r="J179" s="941">
        <v>152837.54975000001</v>
      </c>
      <c r="K179" s="941">
        <v>88810.129012000005</v>
      </c>
      <c r="L179" s="941">
        <v>90271.337228999997</v>
      </c>
      <c r="M179" s="941">
        <v>15143.946073999999</v>
      </c>
      <c r="N179" s="941">
        <v>347062.96206500003</v>
      </c>
      <c r="O179" s="941">
        <v>705549.79263499996</v>
      </c>
      <c r="P179" s="941">
        <v>428492.81045300001</v>
      </c>
      <c r="Q179" s="941">
        <v>23138.717645000001</v>
      </c>
      <c r="R179" s="941">
        <v>66742.483487000005</v>
      </c>
      <c r="S179" s="941">
        <v>174712.32370899999</v>
      </c>
      <c r="T179" s="941">
        <v>264593.52484099998</v>
      </c>
    </row>
    <row r="180" spans="1:20" s="933" customFormat="1" x14ac:dyDescent="0.25">
      <c r="A180" s="960" t="s">
        <v>996</v>
      </c>
      <c r="B180" s="930">
        <v>397577.240399</v>
      </c>
      <c r="C180" s="930">
        <v>177844.60266199999</v>
      </c>
      <c r="D180" s="931">
        <v>4901.5965919999999</v>
      </c>
      <c r="E180" s="930">
        <v>172607.84983699999</v>
      </c>
      <c r="F180" s="930">
        <v>61716.689230999997</v>
      </c>
      <c r="G180" s="931">
        <v>1942.767781</v>
      </c>
      <c r="H180" s="930">
        <v>25692.176986999999</v>
      </c>
      <c r="I180" s="930">
        <v>835438.55911599996</v>
      </c>
      <c r="J180" s="930">
        <v>250903.72957699999</v>
      </c>
      <c r="K180" s="930">
        <v>117346.34965600001</v>
      </c>
      <c r="L180" s="930">
        <v>122180.14515500001</v>
      </c>
      <c r="M180" s="930">
        <v>20166.248832000001</v>
      </c>
      <c r="N180" s="930">
        <v>510596.47321999999</v>
      </c>
      <c r="O180" s="930">
        <v>1346035.0323359999</v>
      </c>
      <c r="P180" s="930">
        <v>758853.09827800002</v>
      </c>
      <c r="Q180" s="930">
        <v>129173.689018</v>
      </c>
      <c r="R180" s="930">
        <v>265827.878685</v>
      </c>
      <c r="S180" s="930">
        <v>392570.45032900001</v>
      </c>
      <c r="T180" s="930">
        <v>787572.01803200005</v>
      </c>
    </row>
    <row r="182" spans="1:20" x14ac:dyDescent="0.25">
      <c r="I182" s="950"/>
      <c r="L182" s="950"/>
    </row>
    <row r="183" spans="1:20" ht="18.75" x14ac:dyDescent="0.25">
      <c r="A183" s="1056" t="s">
        <v>1002</v>
      </c>
      <c r="B183" s="1057"/>
      <c r="C183" s="1057"/>
      <c r="D183" s="1057"/>
      <c r="E183" s="1057"/>
      <c r="F183" s="1057"/>
      <c r="G183" s="1057"/>
      <c r="H183" s="1057"/>
      <c r="I183" s="1057"/>
      <c r="J183" s="1057"/>
      <c r="K183" s="1057"/>
      <c r="L183" s="1057"/>
      <c r="M183" s="1057"/>
      <c r="N183" s="1057"/>
      <c r="O183" s="1057"/>
      <c r="P183" s="1057"/>
      <c r="Q183" s="1057"/>
      <c r="R183" s="1057"/>
      <c r="S183" s="1057"/>
      <c r="T183" s="1058"/>
    </row>
    <row r="184" spans="1:20" s="909" customFormat="1" x14ac:dyDescent="0.25">
      <c r="A184" s="1059" t="s">
        <v>493</v>
      </c>
      <c r="B184" s="1061" t="s">
        <v>906</v>
      </c>
      <c r="C184" s="1062"/>
      <c r="D184" s="1062"/>
      <c r="E184" s="1062"/>
      <c r="F184" s="1062"/>
      <c r="G184" s="1062"/>
      <c r="H184" s="1062"/>
      <c r="I184" s="1063"/>
      <c r="J184" s="1064" t="s">
        <v>907</v>
      </c>
      <c r="K184" s="1065"/>
      <c r="L184" s="1065"/>
      <c r="M184" s="1065"/>
      <c r="N184" s="1066"/>
      <c r="O184" s="1067" t="s">
        <v>908</v>
      </c>
      <c r="P184" s="1068"/>
      <c r="Q184" s="1068"/>
      <c r="R184" s="1068"/>
      <c r="S184" s="1068"/>
      <c r="T184" s="1069"/>
    </row>
    <row r="185" spans="1:20" ht="60" x14ac:dyDescent="0.25">
      <c r="A185" s="1060"/>
      <c r="B185" s="951" t="s">
        <v>909</v>
      </c>
      <c r="C185" s="951" t="s">
        <v>882</v>
      </c>
      <c r="D185" s="951" t="s">
        <v>910</v>
      </c>
      <c r="E185" s="951" t="s">
        <v>883</v>
      </c>
      <c r="F185" s="951" t="s">
        <v>911</v>
      </c>
      <c r="G185" s="951" t="s">
        <v>912</v>
      </c>
      <c r="H185" s="951" t="s">
        <v>913</v>
      </c>
      <c r="I185" s="951" t="s">
        <v>914</v>
      </c>
      <c r="J185" s="952" t="s">
        <v>640</v>
      </c>
      <c r="K185" s="952" t="s">
        <v>882</v>
      </c>
      <c r="L185" s="952" t="s">
        <v>885</v>
      </c>
      <c r="M185" s="952" t="s">
        <v>913</v>
      </c>
      <c r="N185" s="952" t="s">
        <v>915</v>
      </c>
      <c r="O185" s="953" t="s">
        <v>139</v>
      </c>
      <c r="P185" s="953" t="s">
        <v>916</v>
      </c>
      <c r="Q185" s="953" t="s">
        <v>917</v>
      </c>
      <c r="R185" s="953" t="s">
        <v>918</v>
      </c>
      <c r="S185" s="953" t="s">
        <v>919</v>
      </c>
      <c r="T185" s="953" t="s">
        <v>920</v>
      </c>
    </row>
    <row r="186" spans="1:20" x14ac:dyDescent="0.25">
      <c r="A186" s="954" t="s">
        <v>1003</v>
      </c>
      <c r="B186" s="919">
        <v>179284.33688300001</v>
      </c>
      <c r="C186" s="919">
        <v>59298.029552</v>
      </c>
      <c r="D186" s="920">
        <v>3967.8428739999999</v>
      </c>
      <c r="E186" s="919">
        <v>63444.668992999999</v>
      </c>
      <c r="F186" s="919">
        <v>11580.043414</v>
      </c>
      <c r="G186" s="920">
        <v>529.60562300000004</v>
      </c>
      <c r="H186" s="919">
        <v>16212.523181</v>
      </c>
      <c r="I186" s="955">
        <v>329819.60202300001</v>
      </c>
      <c r="J186" s="919">
        <v>81367.215926000004</v>
      </c>
      <c r="K186" s="919">
        <v>23675.589797000001</v>
      </c>
      <c r="L186" s="919">
        <v>29489.091811999999</v>
      </c>
      <c r="M186" s="919">
        <v>4270.1838799999996</v>
      </c>
      <c r="N186" s="955">
        <v>138802.08141499999</v>
      </c>
      <c r="O186" s="955">
        <v>468621.68343799998</v>
      </c>
      <c r="P186" s="919">
        <v>238699.832058</v>
      </c>
      <c r="Q186" s="919">
        <v>96642.588589000006</v>
      </c>
      <c r="R186" s="919">
        <v>164575.701852</v>
      </c>
      <c r="S186" s="919">
        <v>119191.14129499999</v>
      </c>
      <c r="T186" s="955">
        <v>380409.431736</v>
      </c>
    </row>
    <row r="187" spans="1:20" x14ac:dyDescent="0.25">
      <c r="A187" s="954" t="s">
        <v>1004</v>
      </c>
      <c r="B187" s="919">
        <v>16.312163999999999</v>
      </c>
      <c r="C187" s="919"/>
      <c r="D187" s="920"/>
      <c r="E187" s="919" t="s">
        <v>921</v>
      </c>
      <c r="F187" s="919"/>
      <c r="G187" s="920"/>
      <c r="H187" s="919"/>
      <c r="I187" s="955">
        <v>49.656503999999998</v>
      </c>
      <c r="J187" s="919"/>
      <c r="K187" s="919"/>
      <c r="L187" s="919"/>
      <c r="M187" s="919"/>
      <c r="N187" s="955"/>
      <c r="O187" s="955">
        <v>49.656503999999998</v>
      </c>
      <c r="P187" s="919" t="s">
        <v>921</v>
      </c>
      <c r="Q187" s="919">
        <v>36.766911</v>
      </c>
      <c r="R187" s="919"/>
      <c r="S187" s="919"/>
      <c r="T187" s="955">
        <v>36.766911</v>
      </c>
    </row>
    <row r="188" spans="1:20" x14ac:dyDescent="0.25">
      <c r="A188" s="954" t="s">
        <v>1005</v>
      </c>
      <c r="B188" s="919">
        <v>62676.827530000002</v>
      </c>
      <c r="C188" s="919">
        <v>32020.537896000002</v>
      </c>
      <c r="D188" s="920">
        <v>592.160123</v>
      </c>
      <c r="E188" s="919">
        <v>18373.776830999999</v>
      </c>
      <c r="F188" s="919">
        <v>10137.541998999999</v>
      </c>
      <c r="G188" s="920">
        <v>716.55193299999996</v>
      </c>
      <c r="H188" s="919">
        <v>3263.3871680000002</v>
      </c>
      <c r="I188" s="955">
        <v>126472.07142399999</v>
      </c>
      <c r="J188" s="919">
        <v>16006.822571000001</v>
      </c>
      <c r="K188" s="919">
        <v>4382.9401429999998</v>
      </c>
      <c r="L188" s="919">
        <v>2225.6028350000001</v>
      </c>
      <c r="M188" s="919">
        <v>752.118878</v>
      </c>
      <c r="N188" s="955">
        <v>23367.484426999999</v>
      </c>
      <c r="O188" s="955">
        <v>149839.55585100001</v>
      </c>
      <c r="P188" s="919">
        <v>83969.406883999996</v>
      </c>
      <c r="Q188" s="919">
        <v>3300.9388090000002</v>
      </c>
      <c r="R188" s="919">
        <v>27723.595055000002</v>
      </c>
      <c r="S188" s="919">
        <v>89937.785361000002</v>
      </c>
      <c r="T188" s="955">
        <v>120962.319225</v>
      </c>
    </row>
    <row r="189" spans="1:20" x14ac:dyDescent="0.25">
      <c r="A189" s="975" t="s">
        <v>1006</v>
      </c>
      <c r="B189" s="919">
        <v>4301.407209</v>
      </c>
      <c r="C189" s="919">
        <v>816.59715100000005</v>
      </c>
      <c r="D189" s="920"/>
      <c r="E189" s="919">
        <v>2624.3076299999998</v>
      </c>
      <c r="F189" s="919">
        <v>467.72074700000002</v>
      </c>
      <c r="G189" s="920"/>
      <c r="H189" s="919">
        <v>412.402829</v>
      </c>
      <c r="I189" s="955">
        <v>8622.4355660000001</v>
      </c>
      <c r="J189" s="919">
        <v>317.957559</v>
      </c>
      <c r="K189" s="919"/>
      <c r="L189" s="919" t="s">
        <v>921</v>
      </c>
      <c r="M189" s="919"/>
      <c r="N189" s="955">
        <v>317.96519499999999</v>
      </c>
      <c r="O189" s="955">
        <v>8940.4007610000008</v>
      </c>
      <c r="P189" s="919">
        <v>2416.7828829999999</v>
      </c>
      <c r="Q189" s="919">
        <v>4215.3021289999997</v>
      </c>
      <c r="R189" s="919">
        <v>1074.6647310000001</v>
      </c>
      <c r="S189" s="919">
        <v>3365.5156619999998</v>
      </c>
      <c r="T189" s="955">
        <v>8655.4825220000002</v>
      </c>
    </row>
    <row r="190" spans="1:20" x14ac:dyDescent="0.25">
      <c r="A190" s="975" t="s">
        <v>1007</v>
      </c>
      <c r="B190" s="919">
        <v>4519.755975</v>
      </c>
      <c r="C190" s="919">
        <v>2288.7114350000002</v>
      </c>
      <c r="D190" s="920">
        <v>143.98246499999999</v>
      </c>
      <c r="E190" s="919">
        <v>1964.865587</v>
      </c>
      <c r="F190" s="919">
        <v>2277.5877180000002</v>
      </c>
      <c r="G190" s="920"/>
      <c r="H190" s="919">
        <v>637.73544800000002</v>
      </c>
      <c r="I190" s="955">
        <v>11688.656163</v>
      </c>
      <c r="J190" s="919">
        <v>374.18377099999998</v>
      </c>
      <c r="K190" s="919">
        <v>477.69070399999998</v>
      </c>
      <c r="L190" s="919">
        <v>194.10564299999999</v>
      </c>
      <c r="M190" s="919"/>
      <c r="N190" s="955">
        <v>1045.9801179999999</v>
      </c>
      <c r="O190" s="955">
        <v>12734.636280999999</v>
      </c>
      <c r="P190" s="919">
        <v>5228.6521059999995</v>
      </c>
      <c r="Q190" s="919">
        <v>1659.518419</v>
      </c>
      <c r="R190" s="919">
        <v>5711.4335600000004</v>
      </c>
      <c r="S190" s="919">
        <v>5363.6843019999997</v>
      </c>
      <c r="T190" s="955">
        <v>12734.636280999999</v>
      </c>
    </row>
    <row r="191" spans="1:20" x14ac:dyDescent="0.25">
      <c r="A191" s="954" t="s">
        <v>1000</v>
      </c>
      <c r="B191" s="919">
        <v>193.374942</v>
      </c>
      <c r="C191" s="919"/>
      <c r="D191" s="920"/>
      <c r="E191" s="919">
        <v>84.462376000000006</v>
      </c>
      <c r="F191" s="919"/>
      <c r="G191" s="920"/>
      <c r="H191" s="919">
        <v>21.469548</v>
      </c>
      <c r="I191" s="955">
        <v>299.30686600000001</v>
      </c>
      <c r="J191" s="919"/>
      <c r="K191" s="919"/>
      <c r="L191" s="919"/>
      <c r="M191" s="919"/>
      <c r="N191" s="955"/>
      <c r="O191" s="955">
        <v>299.30686600000001</v>
      </c>
      <c r="P191" s="919">
        <v>43.785383000000003</v>
      </c>
      <c r="Q191" s="919">
        <v>179.856516</v>
      </c>
      <c r="R191" s="919"/>
      <c r="S191" s="919"/>
      <c r="T191" s="955">
        <v>179.856516</v>
      </c>
    </row>
    <row r="192" spans="1:20" s="948" customFormat="1" x14ac:dyDescent="0.25">
      <c r="A192" s="957" t="s">
        <v>116</v>
      </c>
      <c r="B192" s="941">
        <v>250992.01470299999</v>
      </c>
      <c r="C192" s="941">
        <v>94423.876034000001</v>
      </c>
      <c r="D192" s="942">
        <v>4703.9854619999996</v>
      </c>
      <c r="E192" s="941">
        <v>86525.425757000005</v>
      </c>
      <c r="F192" s="941">
        <v>24462.893877999999</v>
      </c>
      <c r="G192" s="942">
        <v>1246.1575560000001</v>
      </c>
      <c r="H192" s="941">
        <v>20547.518174000001</v>
      </c>
      <c r="I192" s="958">
        <v>476951.72854600003</v>
      </c>
      <c r="J192" s="941">
        <v>98066.179827</v>
      </c>
      <c r="K192" s="941">
        <v>28536.220644000001</v>
      </c>
      <c r="L192" s="941">
        <v>31908.807926000001</v>
      </c>
      <c r="M192" s="941">
        <v>5022.3027579999998</v>
      </c>
      <c r="N192" s="958">
        <v>163533.51115499999</v>
      </c>
      <c r="O192" s="958">
        <v>640485.23970100004</v>
      </c>
      <c r="P192" s="941">
        <v>330360.28782500001</v>
      </c>
      <c r="Q192" s="941">
        <v>106034.97137299999</v>
      </c>
      <c r="R192" s="941">
        <v>199085.39519800001</v>
      </c>
      <c r="S192" s="941">
        <v>217858.12662</v>
      </c>
      <c r="T192" s="958">
        <v>522978.49319100002</v>
      </c>
    </row>
    <row r="193" spans="1:20" x14ac:dyDescent="0.25">
      <c r="A193" s="954" t="s">
        <v>1008</v>
      </c>
      <c r="B193" s="919">
        <v>112714.57937599999</v>
      </c>
      <c r="C193" s="919">
        <v>54036.860536</v>
      </c>
      <c r="D193" s="920" t="s">
        <v>921</v>
      </c>
      <c r="E193" s="919">
        <v>63998.651570000002</v>
      </c>
      <c r="F193" s="919">
        <v>33115.239228999999</v>
      </c>
      <c r="G193" s="920" t="s">
        <v>921</v>
      </c>
      <c r="H193" s="919">
        <v>4273.7201320000004</v>
      </c>
      <c r="I193" s="955">
        <v>268139.050843</v>
      </c>
      <c r="J193" s="919">
        <v>129259.790049</v>
      </c>
      <c r="K193" s="919">
        <v>71463.725923000005</v>
      </c>
      <c r="L193" s="919">
        <v>77404.307761000004</v>
      </c>
      <c r="M193" s="919">
        <v>15141.28429</v>
      </c>
      <c r="N193" s="955">
        <v>293269.10802300001</v>
      </c>
      <c r="O193" s="955">
        <v>561408.15886600001</v>
      </c>
      <c r="P193" s="919">
        <v>344638.69567300001</v>
      </c>
      <c r="Q193" s="919">
        <v>21541.120363000002</v>
      </c>
      <c r="R193" s="919">
        <v>61470.351596</v>
      </c>
      <c r="S193" s="919">
        <v>133452.83321800001</v>
      </c>
      <c r="T193" s="955">
        <v>216464.305177</v>
      </c>
    </row>
    <row r="194" spans="1:20" x14ac:dyDescent="0.25">
      <c r="A194" s="975" t="s">
        <v>1009</v>
      </c>
      <c r="B194" s="919"/>
      <c r="C194" s="919" t="s">
        <v>921</v>
      </c>
      <c r="D194" s="920"/>
      <c r="E194" s="919">
        <v>41.010362999999998</v>
      </c>
      <c r="F194" s="919"/>
      <c r="G194" s="920"/>
      <c r="H194" s="919"/>
      <c r="I194" s="955">
        <v>46.547001000000002</v>
      </c>
      <c r="J194" s="919"/>
      <c r="K194" s="919"/>
      <c r="L194" s="919"/>
      <c r="M194" s="919"/>
      <c r="N194" s="955"/>
      <c r="O194" s="955">
        <v>46.547001000000002</v>
      </c>
      <c r="P194" s="919"/>
      <c r="Q194" s="919" t="s">
        <v>921</v>
      </c>
      <c r="R194" s="919">
        <v>40.757826999999999</v>
      </c>
      <c r="S194" s="919"/>
      <c r="T194" s="955">
        <v>46.547001000000002</v>
      </c>
    </row>
    <row r="195" spans="1:20" x14ac:dyDescent="0.25">
      <c r="A195" s="975" t="s">
        <v>1010</v>
      </c>
      <c r="B195" s="919">
        <v>33279.655934000002</v>
      </c>
      <c r="C195" s="919">
        <v>29047.960236999999</v>
      </c>
      <c r="D195" s="920"/>
      <c r="E195" s="919">
        <v>20965.265815999999</v>
      </c>
      <c r="F195" s="919">
        <v>4136.5755879999997</v>
      </c>
      <c r="G195" s="920" t="s">
        <v>921</v>
      </c>
      <c r="H195" s="919">
        <v>786.54057299999999</v>
      </c>
      <c r="I195" s="955">
        <v>88215.998147999999</v>
      </c>
      <c r="J195" s="919">
        <v>23455.436211</v>
      </c>
      <c r="K195" s="919">
        <v>17145.453088999999</v>
      </c>
      <c r="L195" s="919">
        <v>12856.173747000001</v>
      </c>
      <c r="M195" s="919" t="s">
        <v>921</v>
      </c>
      <c r="N195" s="955">
        <v>53459.724831</v>
      </c>
      <c r="O195" s="955">
        <v>141675.72297900001</v>
      </c>
      <c r="P195" s="919">
        <v>83215.743220999997</v>
      </c>
      <c r="Q195" s="919">
        <v>761.86834099999999</v>
      </c>
      <c r="R195" s="919">
        <v>3764.0770219999999</v>
      </c>
      <c r="S195" s="919">
        <v>41256.982044999997</v>
      </c>
      <c r="T195" s="955">
        <v>45782.927408000003</v>
      </c>
    </row>
    <row r="196" spans="1:20" x14ac:dyDescent="0.25">
      <c r="A196" s="954" t="s">
        <v>1011</v>
      </c>
      <c r="B196" s="919">
        <v>401.90295600000002</v>
      </c>
      <c r="C196" s="919">
        <v>271.56761399999999</v>
      </c>
      <c r="D196" s="920"/>
      <c r="E196" s="919">
        <v>623.056194</v>
      </c>
      <c r="F196" s="919"/>
      <c r="G196" s="920"/>
      <c r="H196" s="919">
        <v>49.409452999999999</v>
      </c>
      <c r="I196" s="955">
        <v>1345.9362169999999</v>
      </c>
      <c r="J196" s="919" t="s">
        <v>921</v>
      </c>
      <c r="K196" s="919" t="s">
        <v>921</v>
      </c>
      <c r="L196" s="919" t="s">
        <v>921</v>
      </c>
      <c r="M196" s="919"/>
      <c r="N196" s="955">
        <v>334.129211</v>
      </c>
      <c r="O196" s="955">
        <v>1680.0654280000001</v>
      </c>
      <c r="P196" s="919">
        <v>448.74126899999999</v>
      </c>
      <c r="Q196" s="919">
        <v>632.52502700000002</v>
      </c>
      <c r="R196" s="919">
        <v>1045.0319549999999</v>
      </c>
      <c r="S196" s="919" t="s">
        <v>921</v>
      </c>
      <c r="T196" s="955">
        <v>1680.0654280000001</v>
      </c>
    </row>
    <row r="197" spans="1:20" x14ac:dyDescent="0.25">
      <c r="A197" s="954" t="s">
        <v>1012</v>
      </c>
      <c r="B197" s="919">
        <v>78.850072999999995</v>
      </c>
      <c r="C197" s="919" t="s">
        <v>921</v>
      </c>
      <c r="D197" s="920"/>
      <c r="E197" s="919">
        <v>244.22904800000001</v>
      </c>
      <c r="F197" s="919" t="s">
        <v>921</v>
      </c>
      <c r="G197" s="920"/>
      <c r="H197" s="919">
        <v>34.988655000000001</v>
      </c>
      <c r="I197" s="955">
        <v>411.57678399999998</v>
      </c>
      <c r="J197" s="919"/>
      <c r="K197" s="919"/>
      <c r="L197" s="919"/>
      <c r="M197" s="919"/>
      <c r="N197" s="955"/>
      <c r="O197" s="955">
        <v>411.57678399999998</v>
      </c>
      <c r="P197" s="919">
        <v>149.95494099999999</v>
      </c>
      <c r="Q197" s="919">
        <v>197.41473999999999</v>
      </c>
      <c r="R197" s="919">
        <v>134.16401999999999</v>
      </c>
      <c r="S197" s="919"/>
      <c r="T197" s="955">
        <v>331.57875999999999</v>
      </c>
    </row>
    <row r="198" spans="1:20" x14ac:dyDescent="0.25">
      <c r="A198" s="954" t="s">
        <v>1013</v>
      </c>
      <c r="B198" s="919">
        <v>110.237357</v>
      </c>
      <c r="C198" s="919" t="s">
        <v>921</v>
      </c>
      <c r="D198" s="920"/>
      <c r="E198" s="919" t="s">
        <v>921</v>
      </c>
      <c r="F198" s="919"/>
      <c r="G198" s="920"/>
      <c r="H198" s="919"/>
      <c r="I198" s="955">
        <v>327.72157700000002</v>
      </c>
      <c r="J198" s="919"/>
      <c r="K198" s="919"/>
      <c r="L198" s="919"/>
      <c r="M198" s="919"/>
      <c r="N198" s="955"/>
      <c r="O198" s="955">
        <v>327.72157700000002</v>
      </c>
      <c r="P198" s="919">
        <v>39.675348999999997</v>
      </c>
      <c r="Q198" s="919"/>
      <c r="R198" s="919">
        <v>288.101067</v>
      </c>
      <c r="S198" s="919"/>
      <c r="T198" s="955">
        <v>288.101067</v>
      </c>
    </row>
    <row r="199" spans="1:20" s="948" customFormat="1" x14ac:dyDescent="0.25">
      <c r="A199" s="957" t="s">
        <v>137</v>
      </c>
      <c r="B199" s="941">
        <v>146585.22569600001</v>
      </c>
      <c r="C199" s="941">
        <v>83420.726628000004</v>
      </c>
      <c r="D199" s="942" t="s">
        <v>921</v>
      </c>
      <c r="E199" s="941">
        <v>86082.424079999997</v>
      </c>
      <c r="F199" s="941">
        <v>37253.795353000001</v>
      </c>
      <c r="G199" s="942">
        <v>696.61022500000001</v>
      </c>
      <c r="H199" s="941">
        <v>5144.658813</v>
      </c>
      <c r="I199" s="958">
        <v>358486.83056999999</v>
      </c>
      <c r="J199" s="941">
        <v>152837.54975000001</v>
      </c>
      <c r="K199" s="941">
        <v>88810.129012000005</v>
      </c>
      <c r="L199" s="941">
        <v>90271.337228999997</v>
      </c>
      <c r="M199" s="941">
        <v>15143.946073999999</v>
      </c>
      <c r="N199" s="958">
        <v>347062.96206500003</v>
      </c>
      <c r="O199" s="958">
        <v>705549.79263499996</v>
      </c>
      <c r="P199" s="941">
        <v>428492.81045300001</v>
      </c>
      <c r="Q199" s="941">
        <v>23138.717645000001</v>
      </c>
      <c r="R199" s="941">
        <v>66742.483487000005</v>
      </c>
      <c r="S199" s="941">
        <v>174712.32370899999</v>
      </c>
      <c r="T199" s="958">
        <v>264593.52484099998</v>
      </c>
    </row>
    <row r="200" spans="1:20" s="948" customFormat="1" x14ac:dyDescent="0.25">
      <c r="A200" s="960" t="s">
        <v>996</v>
      </c>
      <c r="B200" s="961">
        <v>397577.240399</v>
      </c>
      <c r="C200" s="961">
        <v>177844.60266199999</v>
      </c>
      <c r="D200" s="976">
        <v>4901.5965919999999</v>
      </c>
      <c r="E200" s="961">
        <v>172607.84983699999</v>
      </c>
      <c r="F200" s="961">
        <v>61716.689230999997</v>
      </c>
      <c r="G200" s="976">
        <v>1942.767781</v>
      </c>
      <c r="H200" s="961">
        <v>25692.176986999999</v>
      </c>
      <c r="I200" s="961">
        <v>835438.55911599996</v>
      </c>
      <c r="J200" s="961">
        <v>250903.72957699999</v>
      </c>
      <c r="K200" s="961">
        <v>117346.34965600001</v>
      </c>
      <c r="L200" s="961">
        <v>122180.14515500001</v>
      </c>
      <c r="M200" s="961">
        <v>20166.248832000001</v>
      </c>
      <c r="N200" s="961">
        <v>510596.47321999999</v>
      </c>
      <c r="O200" s="961">
        <v>1346035.0323359999</v>
      </c>
      <c r="P200" s="961">
        <v>758853.09827800002</v>
      </c>
      <c r="Q200" s="961">
        <v>129173.689018</v>
      </c>
      <c r="R200" s="961">
        <v>265827.878685</v>
      </c>
      <c r="S200" s="961">
        <v>392570.45032900001</v>
      </c>
      <c r="T200" s="961">
        <v>787572.01803200005</v>
      </c>
    </row>
  </sheetData>
  <mergeCells count="20">
    <mergeCell ref="A100:A101"/>
    <mergeCell ref="B100:I100"/>
    <mergeCell ref="J100:N100"/>
    <mergeCell ref="O100:T100"/>
    <mergeCell ref="A1:T1"/>
    <mergeCell ref="A2:A3"/>
    <mergeCell ref="B2:I2"/>
    <mergeCell ref="J2:N2"/>
    <mergeCell ref="O2:T2"/>
    <mergeCell ref="A87:T87"/>
    <mergeCell ref="A88:A89"/>
    <mergeCell ref="B88:I88"/>
    <mergeCell ref="J88:N88"/>
    <mergeCell ref="O88:T88"/>
    <mergeCell ref="A99:T99"/>
    <mergeCell ref="A183:T183"/>
    <mergeCell ref="A184:A185"/>
    <mergeCell ref="B184:I184"/>
    <mergeCell ref="J184:N184"/>
    <mergeCell ref="O184:T184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/>
  </sheetPr>
  <dimension ref="A1:T200"/>
  <sheetViews>
    <sheetView topLeftCell="B151" zoomScale="85" zoomScaleNormal="85" workbookViewId="0">
      <selection activeCell="B98" sqref="B98"/>
    </sheetView>
  </sheetViews>
  <sheetFormatPr defaultRowHeight="15" x14ac:dyDescent="0.25"/>
  <cols>
    <col min="1" max="1" width="68.5703125" style="905" bestFit="1" customWidth="1"/>
    <col min="2" max="20" width="22.85546875" style="905" customWidth="1"/>
    <col min="21" max="16384" width="9.140625" style="905"/>
  </cols>
  <sheetData>
    <row r="1" spans="1:20" ht="36.75" customHeight="1" x14ac:dyDescent="0.25">
      <c r="A1" s="1070" t="s">
        <v>1014</v>
      </c>
      <c r="B1" s="1057"/>
      <c r="C1" s="1057"/>
      <c r="D1" s="1057"/>
      <c r="E1" s="1057"/>
      <c r="F1" s="1057"/>
      <c r="G1" s="1057"/>
      <c r="H1" s="1057"/>
      <c r="I1" s="1057"/>
      <c r="J1" s="1057"/>
      <c r="K1" s="1057"/>
      <c r="L1" s="1057"/>
      <c r="M1" s="1057"/>
      <c r="N1" s="1057"/>
      <c r="O1" s="1057"/>
      <c r="P1" s="1057"/>
      <c r="Q1" s="1057"/>
      <c r="R1" s="1057"/>
      <c r="S1" s="1057"/>
      <c r="T1" s="1058"/>
    </row>
    <row r="2" spans="1:20" x14ac:dyDescent="0.25">
      <c r="A2" s="1059" t="s">
        <v>493</v>
      </c>
      <c r="B2" s="1061" t="s">
        <v>906</v>
      </c>
      <c r="C2" s="1062"/>
      <c r="D2" s="1062"/>
      <c r="E2" s="1062"/>
      <c r="F2" s="1062"/>
      <c r="G2" s="1062"/>
      <c r="H2" s="1062"/>
      <c r="I2" s="1063"/>
      <c r="J2" s="1064" t="s">
        <v>907</v>
      </c>
      <c r="K2" s="1065"/>
      <c r="L2" s="1065"/>
      <c r="M2" s="1065"/>
      <c r="N2" s="1066"/>
      <c r="O2" s="1067" t="s">
        <v>908</v>
      </c>
      <c r="P2" s="1068"/>
      <c r="Q2" s="1068"/>
      <c r="R2" s="1068"/>
      <c r="S2" s="1068"/>
      <c r="T2" s="1069"/>
    </row>
    <row r="3" spans="1:20" s="909" customFormat="1" ht="60" x14ac:dyDescent="0.25">
      <c r="A3" s="1060"/>
      <c r="B3" s="951" t="s">
        <v>909</v>
      </c>
      <c r="C3" s="951" t="s">
        <v>882</v>
      </c>
      <c r="D3" s="951" t="s">
        <v>910</v>
      </c>
      <c r="E3" s="951" t="s">
        <v>883</v>
      </c>
      <c r="F3" s="951" t="s">
        <v>911</v>
      </c>
      <c r="G3" s="951" t="s">
        <v>912</v>
      </c>
      <c r="H3" s="951" t="s">
        <v>913</v>
      </c>
      <c r="I3" s="951" t="s">
        <v>914</v>
      </c>
      <c r="J3" s="952" t="s">
        <v>640</v>
      </c>
      <c r="K3" s="952" t="s">
        <v>882</v>
      </c>
      <c r="L3" s="952" t="s">
        <v>885</v>
      </c>
      <c r="M3" s="952" t="s">
        <v>913</v>
      </c>
      <c r="N3" s="952" t="s">
        <v>915</v>
      </c>
      <c r="O3" s="953" t="s">
        <v>139</v>
      </c>
      <c r="P3" s="953" t="s">
        <v>916</v>
      </c>
      <c r="Q3" s="953" t="s">
        <v>917</v>
      </c>
      <c r="R3" s="953" t="s">
        <v>918</v>
      </c>
      <c r="S3" s="953" t="s">
        <v>919</v>
      </c>
      <c r="T3" s="953" t="s">
        <v>920</v>
      </c>
    </row>
    <row r="4" spans="1:20" x14ac:dyDescent="0.25">
      <c r="A4" s="910" t="s">
        <v>110</v>
      </c>
      <c r="B4" s="924">
        <v>2109.1061719999998</v>
      </c>
      <c r="C4" s="924">
        <v>535.92769799999996</v>
      </c>
      <c r="D4" s="925" t="s">
        <v>921</v>
      </c>
      <c r="E4" s="924">
        <v>1607.902216</v>
      </c>
      <c r="F4" s="924">
        <v>359.65425599999998</v>
      </c>
      <c r="G4" s="925" t="s">
        <v>921</v>
      </c>
      <c r="H4" s="924">
        <v>1506.582069</v>
      </c>
      <c r="I4" s="941">
        <v>6119.1724109999996</v>
      </c>
      <c r="J4" s="924"/>
      <c r="K4" s="924"/>
      <c r="L4" s="924"/>
      <c r="M4" s="924"/>
      <c r="N4" s="941"/>
      <c r="O4" s="941">
        <v>6119.1724109999996</v>
      </c>
      <c r="P4" s="924">
        <v>3440.0008029999999</v>
      </c>
      <c r="Q4" s="924">
        <v>4774.8489929999996</v>
      </c>
      <c r="R4" s="924">
        <v>521.68475599999999</v>
      </c>
      <c r="S4" s="924">
        <v>386.05790100000002</v>
      </c>
      <c r="T4" s="924">
        <v>5682.5916500000003</v>
      </c>
    </row>
    <row r="5" spans="1:20" x14ac:dyDescent="0.25">
      <c r="A5" s="917" t="s">
        <v>922</v>
      </c>
      <c r="B5" s="977">
        <v>1923.95298</v>
      </c>
      <c r="C5" s="977">
        <v>532.73506799999996</v>
      </c>
      <c r="D5" s="978" t="s">
        <v>921</v>
      </c>
      <c r="E5" s="977">
        <v>1596.8342439999999</v>
      </c>
      <c r="F5" s="977">
        <v>241.72909000000001</v>
      </c>
      <c r="G5" s="978" t="s">
        <v>921</v>
      </c>
      <c r="H5" s="977">
        <v>1452.685395</v>
      </c>
      <c r="I5" s="963">
        <v>5747.9367769999999</v>
      </c>
      <c r="J5" s="977"/>
      <c r="K5" s="977"/>
      <c r="L5" s="977"/>
      <c r="M5" s="977"/>
      <c r="N5" s="963"/>
      <c r="O5" s="964">
        <v>5747.9367769999999</v>
      </c>
      <c r="P5" s="977">
        <v>3071.8350129999999</v>
      </c>
      <c r="Q5" s="977">
        <v>4714.5597260000004</v>
      </c>
      <c r="R5" s="977">
        <v>220.70361800000001</v>
      </c>
      <c r="S5" s="977">
        <v>386.05790100000002</v>
      </c>
      <c r="T5" s="965">
        <v>5321.3212450000001</v>
      </c>
    </row>
    <row r="6" spans="1:20" x14ac:dyDescent="0.25">
      <c r="A6" s="917" t="s">
        <v>923</v>
      </c>
      <c r="B6" s="977"/>
      <c r="C6" s="977"/>
      <c r="D6" s="978"/>
      <c r="E6" s="977"/>
      <c r="F6" s="977"/>
      <c r="G6" s="978"/>
      <c r="H6" s="977"/>
      <c r="I6" s="963"/>
      <c r="J6" s="977"/>
      <c r="K6" s="977"/>
      <c r="L6" s="977"/>
      <c r="M6" s="977"/>
      <c r="N6" s="963"/>
      <c r="O6" s="964"/>
      <c r="P6" s="977"/>
      <c r="Q6" s="977"/>
      <c r="R6" s="977"/>
      <c r="S6" s="977"/>
      <c r="T6" s="965"/>
    </row>
    <row r="7" spans="1:20" x14ac:dyDescent="0.25">
      <c r="A7" s="917" t="s">
        <v>924</v>
      </c>
      <c r="B7" s="977"/>
      <c r="C7" s="977"/>
      <c r="D7" s="978"/>
      <c r="E7" s="977"/>
      <c r="F7" s="977"/>
      <c r="G7" s="978"/>
      <c r="H7" s="977"/>
      <c r="I7" s="963"/>
      <c r="J7" s="977"/>
      <c r="K7" s="977"/>
      <c r="L7" s="977"/>
      <c r="M7" s="977"/>
      <c r="N7" s="963"/>
      <c r="O7" s="964"/>
      <c r="P7" s="977"/>
      <c r="Q7" s="977"/>
      <c r="R7" s="977"/>
      <c r="S7" s="977"/>
      <c r="T7" s="965"/>
    </row>
    <row r="8" spans="1:20" x14ac:dyDescent="0.25">
      <c r="A8" s="917" t="s">
        <v>925</v>
      </c>
      <c r="B8" s="977"/>
      <c r="C8" s="977"/>
      <c r="D8" s="978"/>
      <c r="E8" s="977"/>
      <c r="F8" s="977"/>
      <c r="G8" s="978"/>
      <c r="H8" s="977">
        <v>18.586355999999999</v>
      </c>
      <c r="I8" s="963">
        <v>18.586355999999999</v>
      </c>
      <c r="J8" s="977"/>
      <c r="K8" s="977"/>
      <c r="L8" s="977"/>
      <c r="M8" s="977"/>
      <c r="N8" s="963"/>
      <c r="O8" s="964">
        <v>18.586355999999999</v>
      </c>
      <c r="P8" s="977">
        <v>18.586355999999999</v>
      </c>
      <c r="Q8" s="977">
        <v>18.586355999999999</v>
      </c>
      <c r="R8" s="977"/>
      <c r="S8" s="977"/>
      <c r="T8" s="965">
        <v>18.586355999999999</v>
      </c>
    </row>
    <row r="9" spans="1:20" x14ac:dyDescent="0.25">
      <c r="A9" s="917" t="s">
        <v>926</v>
      </c>
      <c r="B9" s="977"/>
      <c r="C9" s="977"/>
      <c r="D9" s="978"/>
      <c r="E9" s="977"/>
      <c r="F9" s="977"/>
      <c r="G9" s="978"/>
      <c r="H9" s="977"/>
      <c r="I9" s="963"/>
      <c r="J9" s="977"/>
      <c r="K9" s="977"/>
      <c r="L9" s="977"/>
      <c r="M9" s="977"/>
      <c r="N9" s="963"/>
      <c r="O9" s="964"/>
      <c r="P9" s="977"/>
      <c r="Q9" s="977"/>
      <c r="R9" s="977"/>
      <c r="S9" s="977"/>
      <c r="T9" s="965"/>
    </row>
    <row r="10" spans="1:20" x14ac:dyDescent="0.25">
      <c r="A10" s="917" t="s">
        <v>927</v>
      </c>
      <c r="B10" s="977" t="s">
        <v>921</v>
      </c>
      <c r="C10" s="977" t="s">
        <v>921</v>
      </c>
      <c r="D10" s="978"/>
      <c r="E10" s="977">
        <v>11.067971999999999</v>
      </c>
      <c r="F10" s="977">
        <v>117.925166</v>
      </c>
      <c r="G10" s="978"/>
      <c r="H10" s="977">
        <v>35.310318000000002</v>
      </c>
      <c r="I10" s="963">
        <v>352.64927799999998</v>
      </c>
      <c r="J10" s="977"/>
      <c r="K10" s="977"/>
      <c r="L10" s="977"/>
      <c r="M10" s="977"/>
      <c r="N10" s="963"/>
      <c r="O10" s="964">
        <v>352.64927799999998</v>
      </c>
      <c r="P10" s="977">
        <v>349.57943399999999</v>
      </c>
      <c r="Q10" s="977">
        <v>41.702911</v>
      </c>
      <c r="R10" s="977" t="s">
        <v>921</v>
      </c>
      <c r="S10" s="977"/>
      <c r="T10" s="965">
        <v>342.68404900000002</v>
      </c>
    </row>
    <row r="11" spans="1:20" x14ac:dyDescent="0.25">
      <c r="A11" s="910" t="s">
        <v>928</v>
      </c>
      <c r="B11" s="924">
        <v>543.65553899999998</v>
      </c>
      <c r="C11" s="924">
        <v>389.25393000000003</v>
      </c>
      <c r="D11" s="925"/>
      <c r="E11" s="924">
        <v>352.48857700000002</v>
      </c>
      <c r="F11" s="924">
        <v>16.575464</v>
      </c>
      <c r="G11" s="925"/>
      <c r="H11" s="924">
        <v>238.734982</v>
      </c>
      <c r="I11" s="941">
        <v>1540.708492</v>
      </c>
      <c r="J11" s="924"/>
      <c r="K11" s="924"/>
      <c r="L11" s="924"/>
      <c r="M11" s="924"/>
      <c r="N11" s="941"/>
      <c r="O11" s="941">
        <v>1540.708492</v>
      </c>
      <c r="P11" s="924">
        <v>677.35629800000004</v>
      </c>
      <c r="Q11" s="924">
        <v>871.70188499999995</v>
      </c>
      <c r="R11" s="924">
        <v>558.22615900000005</v>
      </c>
      <c r="S11" s="924" t="s">
        <v>921</v>
      </c>
      <c r="T11" s="924">
        <v>1509.9557609999999</v>
      </c>
    </row>
    <row r="12" spans="1:20" x14ac:dyDescent="0.25">
      <c r="A12" s="917" t="s">
        <v>929</v>
      </c>
      <c r="B12" s="977">
        <v>151.56150400000001</v>
      </c>
      <c r="C12" s="977" t="s">
        <v>921</v>
      </c>
      <c r="D12" s="978"/>
      <c r="E12" s="977">
        <v>70.860197999999997</v>
      </c>
      <c r="F12" s="977"/>
      <c r="G12" s="978"/>
      <c r="H12" s="977">
        <v>49.705419999999997</v>
      </c>
      <c r="I12" s="963">
        <v>292.12032799999997</v>
      </c>
      <c r="J12" s="977"/>
      <c r="K12" s="977"/>
      <c r="L12" s="977"/>
      <c r="M12" s="977"/>
      <c r="N12" s="963"/>
      <c r="O12" s="964">
        <v>292.12032799999997</v>
      </c>
      <c r="P12" s="977">
        <v>153.55560199999999</v>
      </c>
      <c r="Q12" s="977">
        <v>213.34986900000001</v>
      </c>
      <c r="R12" s="977">
        <v>74.600917999999993</v>
      </c>
      <c r="S12" s="977"/>
      <c r="T12" s="965">
        <v>287.95078699999999</v>
      </c>
    </row>
    <row r="13" spans="1:20" x14ac:dyDescent="0.25">
      <c r="A13" s="917" t="s">
        <v>930</v>
      </c>
      <c r="B13" s="977">
        <v>163.59920700000001</v>
      </c>
      <c r="C13" s="977">
        <v>117.356444</v>
      </c>
      <c r="D13" s="978"/>
      <c r="E13" s="977">
        <v>70.411694999999995</v>
      </c>
      <c r="F13" s="977" t="s">
        <v>921</v>
      </c>
      <c r="G13" s="978"/>
      <c r="H13" s="977">
        <v>59.593510000000002</v>
      </c>
      <c r="I13" s="963">
        <v>411.374841</v>
      </c>
      <c r="J13" s="977"/>
      <c r="K13" s="977"/>
      <c r="L13" s="977"/>
      <c r="M13" s="977"/>
      <c r="N13" s="963"/>
      <c r="O13" s="964">
        <v>411.374841</v>
      </c>
      <c r="P13" s="977">
        <v>331.53866799999997</v>
      </c>
      <c r="Q13" s="977">
        <v>256.10412100000002</v>
      </c>
      <c r="R13" s="977">
        <v>58.638026000000004</v>
      </c>
      <c r="S13" s="977" t="s">
        <v>921</v>
      </c>
      <c r="T13" s="965">
        <v>394.76986399999998</v>
      </c>
    </row>
    <row r="14" spans="1:20" x14ac:dyDescent="0.25">
      <c r="A14" s="917" t="s">
        <v>931</v>
      </c>
      <c r="B14" s="977"/>
      <c r="C14" s="977"/>
      <c r="D14" s="978"/>
      <c r="E14" s="977" t="s">
        <v>921</v>
      </c>
      <c r="F14" s="977"/>
      <c r="G14" s="978"/>
      <c r="H14" s="977"/>
      <c r="I14" s="963" t="s">
        <v>921</v>
      </c>
      <c r="J14" s="977"/>
      <c r="K14" s="977"/>
      <c r="L14" s="977"/>
      <c r="M14" s="977"/>
      <c r="N14" s="963"/>
      <c r="O14" s="964" t="s">
        <v>921</v>
      </c>
      <c r="P14" s="977"/>
      <c r="Q14" s="977" t="s">
        <v>921</v>
      </c>
      <c r="R14" s="977"/>
      <c r="S14" s="977"/>
      <c r="T14" s="965" t="s">
        <v>921</v>
      </c>
    </row>
    <row r="15" spans="1:20" x14ac:dyDescent="0.25">
      <c r="A15" s="917" t="s">
        <v>932</v>
      </c>
      <c r="B15" s="977"/>
      <c r="C15" s="977"/>
      <c r="D15" s="978"/>
      <c r="E15" s="977"/>
      <c r="F15" s="977"/>
      <c r="G15" s="978"/>
      <c r="H15" s="977"/>
      <c r="I15" s="963"/>
      <c r="J15" s="977"/>
      <c r="K15" s="977"/>
      <c r="L15" s="977"/>
      <c r="M15" s="977"/>
      <c r="N15" s="963"/>
      <c r="O15" s="964"/>
      <c r="P15" s="977"/>
      <c r="Q15" s="977"/>
      <c r="R15" s="977"/>
      <c r="S15" s="977"/>
      <c r="T15" s="965"/>
    </row>
    <row r="16" spans="1:20" x14ac:dyDescent="0.25">
      <c r="A16" s="917" t="s">
        <v>933</v>
      </c>
      <c r="B16" s="977">
        <v>35.826960999999997</v>
      </c>
      <c r="C16" s="977"/>
      <c r="D16" s="978"/>
      <c r="E16" s="977" t="s">
        <v>921</v>
      </c>
      <c r="F16" s="977"/>
      <c r="G16" s="978"/>
      <c r="H16" s="977">
        <v>61.964122000000003</v>
      </c>
      <c r="I16" s="963">
        <v>101.011713</v>
      </c>
      <c r="J16" s="977"/>
      <c r="K16" s="977"/>
      <c r="L16" s="977"/>
      <c r="M16" s="977"/>
      <c r="N16" s="963"/>
      <c r="O16" s="964">
        <v>101.011713</v>
      </c>
      <c r="P16" s="977">
        <v>76.810595000000006</v>
      </c>
      <c r="Q16" s="977">
        <v>101.011713</v>
      </c>
      <c r="R16" s="977"/>
      <c r="S16" s="977"/>
      <c r="T16" s="965">
        <v>101.011713</v>
      </c>
    </row>
    <row r="17" spans="1:20" x14ac:dyDescent="0.25">
      <c r="A17" s="917" t="s">
        <v>934</v>
      </c>
      <c r="B17" s="977">
        <v>164.427527</v>
      </c>
      <c r="C17" s="977"/>
      <c r="D17" s="978"/>
      <c r="E17" s="977">
        <v>125.08296300000001</v>
      </c>
      <c r="F17" s="977" t="s">
        <v>921</v>
      </c>
      <c r="G17" s="978"/>
      <c r="H17" s="977">
        <v>31.709382000000002</v>
      </c>
      <c r="I17" s="963">
        <v>323.104443</v>
      </c>
      <c r="J17" s="977"/>
      <c r="K17" s="977"/>
      <c r="L17" s="977"/>
      <c r="M17" s="977"/>
      <c r="N17" s="963"/>
      <c r="O17" s="964">
        <v>323.104443</v>
      </c>
      <c r="P17" s="977">
        <v>49.998874999999998</v>
      </c>
      <c r="Q17" s="977">
        <v>143.771984</v>
      </c>
      <c r="R17" s="977" t="s">
        <v>921</v>
      </c>
      <c r="S17" s="977"/>
      <c r="T17" s="965">
        <v>316.854919</v>
      </c>
    </row>
    <row r="18" spans="1:20" x14ac:dyDescent="0.25">
      <c r="A18" s="917" t="s">
        <v>935</v>
      </c>
      <c r="B18" s="977" t="s">
        <v>921</v>
      </c>
      <c r="C18" s="977" t="s">
        <v>921</v>
      </c>
      <c r="D18" s="978"/>
      <c r="E18" s="977">
        <v>59.169455999999997</v>
      </c>
      <c r="F18" s="977" t="s">
        <v>921</v>
      </c>
      <c r="G18" s="978"/>
      <c r="H18" s="977">
        <v>22.54514</v>
      </c>
      <c r="I18" s="963">
        <v>360.72331600000001</v>
      </c>
      <c r="J18" s="977"/>
      <c r="K18" s="977"/>
      <c r="L18" s="977"/>
      <c r="M18" s="977"/>
      <c r="N18" s="963"/>
      <c r="O18" s="964">
        <v>360.72331600000001</v>
      </c>
      <c r="P18" s="977">
        <v>36.822048000000002</v>
      </c>
      <c r="Q18" s="977">
        <v>108.819036</v>
      </c>
      <c r="R18" s="977" t="s">
        <v>921</v>
      </c>
      <c r="S18" s="977"/>
      <c r="T18" s="965">
        <v>360.72331600000001</v>
      </c>
    </row>
    <row r="19" spans="1:20" x14ac:dyDescent="0.25">
      <c r="A19" s="917" t="s">
        <v>936</v>
      </c>
      <c r="B19" s="977" t="s">
        <v>921</v>
      </c>
      <c r="C19" s="977"/>
      <c r="D19" s="978"/>
      <c r="E19" s="977">
        <v>7.1618599999999999</v>
      </c>
      <c r="F19" s="977"/>
      <c r="G19" s="978"/>
      <c r="H19" s="977">
        <v>3.307531</v>
      </c>
      <c r="I19" s="963">
        <v>25.882199</v>
      </c>
      <c r="J19" s="977"/>
      <c r="K19" s="977"/>
      <c r="L19" s="977"/>
      <c r="M19" s="977"/>
      <c r="N19" s="963"/>
      <c r="O19" s="964">
        <v>25.882199</v>
      </c>
      <c r="P19" s="977">
        <v>18.720632999999999</v>
      </c>
      <c r="Q19" s="977">
        <v>22.153510000000001</v>
      </c>
      <c r="R19" s="977"/>
      <c r="S19" s="977"/>
      <c r="T19" s="965">
        <v>22.153510000000001</v>
      </c>
    </row>
    <row r="20" spans="1:20" x14ac:dyDescent="0.25">
      <c r="A20" s="917" t="s">
        <v>937</v>
      </c>
      <c r="B20" s="977"/>
      <c r="C20" s="977"/>
      <c r="D20" s="978"/>
      <c r="E20" s="977"/>
      <c r="F20" s="977"/>
      <c r="G20" s="978"/>
      <c r="H20" s="977"/>
      <c r="I20" s="963"/>
      <c r="J20" s="977"/>
      <c r="K20" s="977"/>
      <c r="L20" s="977"/>
      <c r="M20" s="977"/>
      <c r="N20" s="963"/>
      <c r="O20" s="964"/>
      <c r="P20" s="977"/>
      <c r="Q20" s="977"/>
      <c r="R20" s="977"/>
      <c r="S20" s="977"/>
      <c r="T20" s="965"/>
    </row>
    <row r="21" spans="1:20" x14ac:dyDescent="0.25">
      <c r="A21" s="917" t="s">
        <v>938</v>
      </c>
      <c r="B21" s="977"/>
      <c r="C21" s="977"/>
      <c r="D21" s="978"/>
      <c r="E21" s="977"/>
      <c r="F21" s="977"/>
      <c r="G21" s="978"/>
      <c r="H21" s="977"/>
      <c r="I21" s="963"/>
      <c r="J21" s="977"/>
      <c r="K21" s="977"/>
      <c r="L21" s="977"/>
      <c r="M21" s="977"/>
      <c r="N21" s="963"/>
      <c r="O21" s="964"/>
      <c r="P21" s="977"/>
      <c r="Q21" s="977"/>
      <c r="R21" s="977"/>
      <c r="S21" s="977"/>
      <c r="T21" s="965"/>
    </row>
    <row r="22" spans="1:20" x14ac:dyDescent="0.25">
      <c r="A22" s="917" t="s">
        <v>939</v>
      </c>
      <c r="B22" s="977"/>
      <c r="C22" s="977"/>
      <c r="D22" s="978"/>
      <c r="E22" s="977"/>
      <c r="F22" s="977"/>
      <c r="G22" s="978"/>
      <c r="H22" s="977">
        <v>9.9098769999999998</v>
      </c>
      <c r="I22" s="963">
        <v>9.9098769999999998</v>
      </c>
      <c r="J22" s="977"/>
      <c r="K22" s="977"/>
      <c r="L22" s="977"/>
      <c r="M22" s="977"/>
      <c r="N22" s="963"/>
      <c r="O22" s="964">
        <v>9.9098769999999998</v>
      </c>
      <c r="P22" s="977">
        <v>9.9098769999999998</v>
      </c>
      <c r="Q22" s="977">
        <v>9.9098769999999998</v>
      </c>
      <c r="R22" s="977"/>
      <c r="S22" s="977"/>
      <c r="T22" s="965">
        <v>9.9098769999999998</v>
      </c>
    </row>
    <row r="23" spans="1:20" x14ac:dyDescent="0.25">
      <c r="A23" s="917" t="s">
        <v>940</v>
      </c>
      <c r="B23" s="977"/>
      <c r="C23" s="977"/>
      <c r="D23" s="978"/>
      <c r="E23" s="977"/>
      <c r="F23" s="977"/>
      <c r="G23" s="978"/>
      <c r="H23" s="977"/>
      <c r="I23" s="963"/>
      <c r="J23" s="977"/>
      <c r="K23" s="977"/>
      <c r="L23" s="977"/>
      <c r="M23" s="977"/>
      <c r="N23" s="963"/>
      <c r="O23" s="964"/>
      <c r="P23" s="977"/>
      <c r="Q23" s="977"/>
      <c r="R23" s="977"/>
      <c r="S23" s="977"/>
      <c r="T23" s="965"/>
    </row>
    <row r="24" spans="1:20" x14ac:dyDescent="0.25">
      <c r="A24" s="910" t="s">
        <v>229</v>
      </c>
      <c r="B24" s="924">
        <v>366.978746</v>
      </c>
      <c r="C24" s="924">
        <v>149.49870000000001</v>
      </c>
      <c r="D24" s="925" t="s">
        <v>921</v>
      </c>
      <c r="E24" s="924">
        <v>473.42602799999997</v>
      </c>
      <c r="F24" s="924">
        <v>5.1019310000000004</v>
      </c>
      <c r="G24" s="925"/>
      <c r="H24" s="924">
        <v>136.11634799999999</v>
      </c>
      <c r="I24" s="941">
        <v>1131.1217529999999</v>
      </c>
      <c r="J24" s="924" t="s">
        <v>921</v>
      </c>
      <c r="K24" s="924"/>
      <c r="L24" s="924"/>
      <c r="M24" s="924"/>
      <c r="N24" s="941" t="s">
        <v>921</v>
      </c>
      <c r="O24" s="941">
        <v>1199.199192</v>
      </c>
      <c r="P24" s="924">
        <v>611.24448600000005</v>
      </c>
      <c r="Q24" s="924">
        <v>795.29225399999996</v>
      </c>
      <c r="R24" s="924">
        <v>222.92862</v>
      </c>
      <c r="S24" s="924"/>
      <c r="T24" s="924">
        <v>1018.220874</v>
      </c>
    </row>
    <row r="25" spans="1:20" x14ac:dyDescent="0.25">
      <c r="A25" s="917" t="s">
        <v>941</v>
      </c>
      <c r="B25" s="977">
        <v>146.66743399999999</v>
      </c>
      <c r="C25" s="977">
        <v>82.979242999999997</v>
      </c>
      <c r="D25" s="978"/>
      <c r="E25" s="977">
        <v>151.05817999999999</v>
      </c>
      <c r="F25" s="977">
        <v>3.8538670000000002</v>
      </c>
      <c r="G25" s="978"/>
      <c r="H25" s="977">
        <v>8.7535489999999996</v>
      </c>
      <c r="I25" s="963">
        <v>393.312273</v>
      </c>
      <c r="J25" s="977"/>
      <c r="K25" s="977"/>
      <c r="L25" s="977"/>
      <c r="M25" s="977"/>
      <c r="N25" s="963"/>
      <c r="O25" s="964">
        <v>393.312273</v>
      </c>
      <c r="P25" s="977">
        <v>230.13726</v>
      </c>
      <c r="Q25" s="977">
        <v>218.24786700000001</v>
      </c>
      <c r="R25" s="977" t="s">
        <v>921</v>
      </c>
      <c r="S25" s="977"/>
      <c r="T25" s="965">
        <v>349.25635799999998</v>
      </c>
    </row>
    <row r="26" spans="1:20" x14ac:dyDescent="0.25">
      <c r="A26" s="917" t="s">
        <v>942</v>
      </c>
      <c r="B26" s="977">
        <v>60.890993999999999</v>
      </c>
      <c r="C26" s="977"/>
      <c r="D26" s="978"/>
      <c r="E26" s="977">
        <v>9.7259770000000003</v>
      </c>
      <c r="F26" s="977" t="s">
        <v>921</v>
      </c>
      <c r="G26" s="978"/>
      <c r="H26" s="977">
        <v>46.490608999999999</v>
      </c>
      <c r="I26" s="963">
        <v>118.355644</v>
      </c>
      <c r="J26" s="977"/>
      <c r="K26" s="977"/>
      <c r="L26" s="977"/>
      <c r="M26" s="977"/>
      <c r="N26" s="963"/>
      <c r="O26" s="964">
        <v>118.355644</v>
      </c>
      <c r="P26" s="977">
        <v>102.28951000000001</v>
      </c>
      <c r="Q26" s="977">
        <v>106.36991999999999</v>
      </c>
      <c r="R26" s="977"/>
      <c r="S26" s="977"/>
      <c r="T26" s="965">
        <v>106.36991999999999</v>
      </c>
    </row>
    <row r="27" spans="1:20" x14ac:dyDescent="0.25">
      <c r="A27" s="917" t="s">
        <v>943</v>
      </c>
      <c r="B27" s="977"/>
      <c r="C27" s="977"/>
      <c r="D27" s="978"/>
      <c r="E27" s="977"/>
      <c r="F27" s="977"/>
      <c r="G27" s="978"/>
      <c r="H27" s="977"/>
      <c r="I27" s="963"/>
      <c r="J27" s="977"/>
      <c r="K27" s="977"/>
      <c r="L27" s="977"/>
      <c r="M27" s="977"/>
      <c r="N27" s="963"/>
      <c r="O27" s="964"/>
      <c r="P27" s="977"/>
      <c r="Q27" s="977"/>
      <c r="R27" s="977"/>
      <c r="S27" s="977"/>
      <c r="T27" s="965"/>
    </row>
    <row r="28" spans="1:20" x14ac:dyDescent="0.25">
      <c r="A28" s="917" t="s">
        <v>944</v>
      </c>
      <c r="B28" s="977"/>
      <c r="C28" s="977"/>
      <c r="D28" s="978"/>
      <c r="E28" s="977"/>
      <c r="F28" s="977"/>
      <c r="G28" s="978"/>
      <c r="H28" s="977"/>
      <c r="I28" s="963"/>
      <c r="J28" s="977"/>
      <c r="K28" s="977"/>
      <c r="L28" s="977"/>
      <c r="M28" s="977"/>
      <c r="N28" s="963"/>
      <c r="O28" s="964"/>
      <c r="P28" s="977"/>
      <c r="Q28" s="977"/>
      <c r="R28" s="977"/>
      <c r="S28" s="977"/>
      <c r="T28" s="965"/>
    </row>
    <row r="29" spans="1:20" x14ac:dyDescent="0.25">
      <c r="A29" s="917" t="s">
        <v>945</v>
      </c>
      <c r="B29" s="977">
        <v>44.427458000000001</v>
      </c>
      <c r="C29" s="977">
        <v>36.816015999999998</v>
      </c>
      <c r="D29" s="978" t="s">
        <v>921</v>
      </c>
      <c r="E29" s="977">
        <v>305.28218299999997</v>
      </c>
      <c r="F29" s="977"/>
      <c r="G29" s="978"/>
      <c r="H29" s="977">
        <v>63.574254000000003</v>
      </c>
      <c r="I29" s="963">
        <v>450.09991100000002</v>
      </c>
      <c r="J29" s="977" t="s">
        <v>921</v>
      </c>
      <c r="K29" s="977"/>
      <c r="L29" s="977"/>
      <c r="M29" s="977"/>
      <c r="N29" s="963" t="s">
        <v>921</v>
      </c>
      <c r="O29" s="964">
        <v>518.17735000000005</v>
      </c>
      <c r="P29" s="977">
        <v>218.00925899999999</v>
      </c>
      <c r="Q29" s="977">
        <v>338.57945899999999</v>
      </c>
      <c r="R29" s="977">
        <v>91.920129000000003</v>
      </c>
      <c r="S29" s="977"/>
      <c r="T29" s="965">
        <v>430.49958800000002</v>
      </c>
    </row>
    <row r="30" spans="1:20" x14ac:dyDescent="0.25">
      <c r="A30" s="917" t="s">
        <v>946</v>
      </c>
      <c r="B30" s="977" t="s">
        <v>921</v>
      </c>
      <c r="C30" s="977" t="s">
        <v>921</v>
      </c>
      <c r="D30" s="978"/>
      <c r="E30" s="977" t="s">
        <v>921</v>
      </c>
      <c r="F30" s="977"/>
      <c r="G30" s="978"/>
      <c r="H30" s="977">
        <v>7.926615</v>
      </c>
      <c r="I30" s="963">
        <v>97.661752000000007</v>
      </c>
      <c r="J30" s="977"/>
      <c r="K30" s="977"/>
      <c r="L30" s="977"/>
      <c r="M30" s="977"/>
      <c r="N30" s="963"/>
      <c r="O30" s="964">
        <v>97.661752000000007</v>
      </c>
      <c r="P30" s="977">
        <v>36.581567999999997</v>
      </c>
      <c r="Q30" s="977">
        <v>63.934437000000003</v>
      </c>
      <c r="R30" s="977"/>
      <c r="S30" s="977"/>
      <c r="T30" s="965">
        <v>63.934437000000003</v>
      </c>
    </row>
    <row r="31" spans="1:20" x14ac:dyDescent="0.25">
      <c r="A31" s="917" t="s">
        <v>947</v>
      </c>
      <c r="B31" s="977"/>
      <c r="C31" s="977"/>
      <c r="D31" s="978"/>
      <c r="E31" s="977"/>
      <c r="F31" s="977"/>
      <c r="G31" s="978"/>
      <c r="H31" s="977"/>
      <c r="I31" s="963"/>
      <c r="J31" s="977"/>
      <c r="K31" s="977"/>
      <c r="L31" s="977"/>
      <c r="M31" s="977"/>
      <c r="N31" s="963"/>
      <c r="O31" s="964"/>
      <c r="P31" s="977"/>
      <c r="Q31" s="977"/>
      <c r="R31" s="977"/>
      <c r="S31" s="977"/>
      <c r="T31" s="965"/>
    </row>
    <row r="32" spans="1:20" x14ac:dyDescent="0.25">
      <c r="A32" s="917" t="s">
        <v>948</v>
      </c>
      <c r="B32" s="977"/>
      <c r="C32" s="977"/>
      <c r="D32" s="978"/>
      <c r="E32" s="977"/>
      <c r="F32" s="977"/>
      <c r="G32" s="978"/>
      <c r="H32" s="977"/>
      <c r="I32" s="963"/>
      <c r="J32" s="977"/>
      <c r="K32" s="977"/>
      <c r="L32" s="977"/>
      <c r="M32" s="977"/>
      <c r="N32" s="963"/>
      <c r="O32" s="964"/>
      <c r="P32" s="977"/>
      <c r="Q32" s="977"/>
      <c r="R32" s="977"/>
      <c r="S32" s="977"/>
      <c r="T32" s="965"/>
    </row>
    <row r="33" spans="1:20" x14ac:dyDescent="0.25">
      <c r="A33" s="917" t="s">
        <v>949</v>
      </c>
      <c r="B33" s="977" t="s">
        <v>921</v>
      </c>
      <c r="C33" s="977"/>
      <c r="D33" s="978"/>
      <c r="E33" s="977"/>
      <c r="F33" s="977"/>
      <c r="G33" s="978"/>
      <c r="H33" s="977">
        <v>5.8397189999999997</v>
      </c>
      <c r="I33" s="963">
        <v>49.977010999999997</v>
      </c>
      <c r="J33" s="977"/>
      <c r="K33" s="977"/>
      <c r="L33" s="977"/>
      <c r="M33" s="977"/>
      <c r="N33" s="963"/>
      <c r="O33" s="964">
        <v>49.977010999999997</v>
      </c>
      <c r="P33" s="977">
        <v>5.8397189999999997</v>
      </c>
      <c r="Q33" s="977">
        <v>49.977010999999997</v>
      </c>
      <c r="R33" s="977"/>
      <c r="S33" s="977"/>
      <c r="T33" s="965">
        <v>49.977010999999997</v>
      </c>
    </row>
    <row r="34" spans="1:20" x14ac:dyDescent="0.25">
      <c r="A34" s="917" t="s">
        <v>950</v>
      </c>
      <c r="B34" s="977" t="s">
        <v>921</v>
      </c>
      <c r="C34" s="977"/>
      <c r="D34" s="978"/>
      <c r="E34" s="977"/>
      <c r="F34" s="977"/>
      <c r="G34" s="978"/>
      <c r="H34" s="977">
        <v>3.5316019999999999</v>
      </c>
      <c r="I34" s="963">
        <v>18.387170000000001</v>
      </c>
      <c r="J34" s="977"/>
      <c r="K34" s="977"/>
      <c r="L34" s="977"/>
      <c r="M34" s="977"/>
      <c r="N34" s="963"/>
      <c r="O34" s="964">
        <v>18.387170000000001</v>
      </c>
      <c r="P34" s="977">
        <v>18.387170000000001</v>
      </c>
      <c r="Q34" s="977" t="s">
        <v>921</v>
      </c>
      <c r="R34" s="977"/>
      <c r="S34" s="977"/>
      <c r="T34" s="965" t="s">
        <v>921</v>
      </c>
    </row>
    <row r="35" spans="1:20" x14ac:dyDescent="0.25">
      <c r="A35" s="917" t="s">
        <v>951</v>
      </c>
      <c r="B35" s="977"/>
      <c r="C35" s="977"/>
      <c r="D35" s="978"/>
      <c r="E35" s="977" t="s">
        <v>921</v>
      </c>
      <c r="F35" s="977"/>
      <c r="G35" s="978"/>
      <c r="H35" s="977"/>
      <c r="I35" s="963" t="s">
        <v>921</v>
      </c>
      <c r="J35" s="977"/>
      <c r="K35" s="977"/>
      <c r="L35" s="977"/>
      <c r="M35" s="977"/>
      <c r="N35" s="963"/>
      <c r="O35" s="964" t="s">
        <v>921</v>
      </c>
      <c r="P35" s="977"/>
      <c r="Q35" s="977" t="s">
        <v>921</v>
      </c>
      <c r="R35" s="977"/>
      <c r="S35" s="977"/>
      <c r="T35" s="965" t="s">
        <v>921</v>
      </c>
    </row>
    <row r="36" spans="1:20" x14ac:dyDescent="0.25">
      <c r="A36" s="910" t="s">
        <v>115</v>
      </c>
      <c r="B36" s="924">
        <v>529.15091700000005</v>
      </c>
      <c r="C36" s="924">
        <v>102.96897199999999</v>
      </c>
      <c r="D36" s="925"/>
      <c r="E36" s="924">
        <v>214.811804</v>
      </c>
      <c r="F36" s="924">
        <v>40.042310000000001</v>
      </c>
      <c r="G36" s="925"/>
      <c r="H36" s="924">
        <v>392.04157099999998</v>
      </c>
      <c r="I36" s="941">
        <v>1279.015574</v>
      </c>
      <c r="J36" s="924"/>
      <c r="K36" s="924"/>
      <c r="L36" s="924"/>
      <c r="M36" s="924"/>
      <c r="N36" s="941"/>
      <c r="O36" s="941">
        <v>1279.015574</v>
      </c>
      <c r="P36" s="924">
        <v>791.85098000000005</v>
      </c>
      <c r="Q36" s="924">
        <v>1136.0493690000001</v>
      </c>
      <c r="R36" s="924" t="s">
        <v>921</v>
      </c>
      <c r="S36" s="924">
        <v>10.874283999999999</v>
      </c>
      <c r="T36" s="924">
        <v>1156.0439389999999</v>
      </c>
    </row>
    <row r="37" spans="1:20" x14ac:dyDescent="0.25">
      <c r="A37" s="917" t="s">
        <v>952</v>
      </c>
      <c r="B37" s="977" t="s">
        <v>921</v>
      </c>
      <c r="C37" s="977">
        <v>19.052</v>
      </c>
      <c r="D37" s="978"/>
      <c r="E37" s="977">
        <v>47.898910000000001</v>
      </c>
      <c r="F37" s="977"/>
      <c r="G37" s="978"/>
      <c r="H37" s="977">
        <v>19.446202</v>
      </c>
      <c r="I37" s="963">
        <v>138.84511800000001</v>
      </c>
      <c r="J37" s="977"/>
      <c r="K37" s="977"/>
      <c r="L37" s="977"/>
      <c r="M37" s="977"/>
      <c r="N37" s="963"/>
      <c r="O37" s="964">
        <v>138.84511800000001</v>
      </c>
      <c r="P37" s="977">
        <v>81.951396000000003</v>
      </c>
      <c r="Q37" s="977">
        <v>112.323669</v>
      </c>
      <c r="R37" s="977"/>
      <c r="S37" s="977"/>
      <c r="T37" s="965">
        <v>112.323669</v>
      </c>
    </row>
    <row r="38" spans="1:20" x14ac:dyDescent="0.25">
      <c r="A38" s="917" t="s">
        <v>953</v>
      </c>
      <c r="B38" s="977">
        <v>286.17388699999998</v>
      </c>
      <c r="C38" s="977">
        <v>83.916972000000001</v>
      </c>
      <c r="D38" s="978"/>
      <c r="E38" s="977">
        <v>142.710542</v>
      </c>
      <c r="F38" s="977">
        <v>6.1362779999999999</v>
      </c>
      <c r="G38" s="978"/>
      <c r="H38" s="977">
        <v>321.19345199999998</v>
      </c>
      <c r="I38" s="963">
        <v>840.13113099999998</v>
      </c>
      <c r="J38" s="977"/>
      <c r="K38" s="977"/>
      <c r="L38" s="977"/>
      <c r="M38" s="977"/>
      <c r="N38" s="963"/>
      <c r="O38" s="964">
        <v>840.13113099999998</v>
      </c>
      <c r="P38" s="977">
        <v>599.19693600000005</v>
      </c>
      <c r="Q38" s="977">
        <v>732.80666099999996</v>
      </c>
      <c r="R38" s="977"/>
      <c r="S38" s="977">
        <v>10.874283999999999</v>
      </c>
      <c r="T38" s="965">
        <v>743.68094499999995</v>
      </c>
    </row>
    <row r="39" spans="1:20" x14ac:dyDescent="0.25">
      <c r="A39" s="917" t="s">
        <v>954</v>
      </c>
      <c r="B39" s="977" t="s">
        <v>921</v>
      </c>
      <c r="C39" s="977"/>
      <c r="D39" s="978"/>
      <c r="E39" s="977" t="s">
        <v>921</v>
      </c>
      <c r="F39" s="977"/>
      <c r="G39" s="978"/>
      <c r="H39" s="977"/>
      <c r="I39" s="963">
        <v>39.773809</v>
      </c>
      <c r="J39" s="977"/>
      <c r="K39" s="977"/>
      <c r="L39" s="977"/>
      <c r="M39" s="977"/>
      <c r="N39" s="963"/>
      <c r="O39" s="964">
        <v>39.773809</v>
      </c>
      <c r="P39" s="977"/>
      <c r="Q39" s="977">
        <v>39.773809</v>
      </c>
      <c r="R39" s="977"/>
      <c r="S39" s="977"/>
      <c r="T39" s="965">
        <v>39.773809</v>
      </c>
    </row>
    <row r="40" spans="1:20" x14ac:dyDescent="0.25">
      <c r="A40" s="917" t="s">
        <v>955</v>
      </c>
      <c r="B40" s="977">
        <v>25.456721999999999</v>
      </c>
      <c r="C40" s="977"/>
      <c r="D40" s="978"/>
      <c r="E40" s="977" t="s">
        <v>921</v>
      </c>
      <c r="F40" s="977" t="s">
        <v>921</v>
      </c>
      <c r="G40" s="978"/>
      <c r="H40" s="977">
        <v>15.620913</v>
      </c>
      <c r="I40" s="963">
        <v>47.171731000000001</v>
      </c>
      <c r="J40" s="977"/>
      <c r="K40" s="977"/>
      <c r="L40" s="977"/>
      <c r="M40" s="977"/>
      <c r="N40" s="963"/>
      <c r="O40" s="964">
        <v>47.171731000000001</v>
      </c>
      <c r="P40" s="977">
        <v>21.389244000000001</v>
      </c>
      <c r="Q40" s="977">
        <v>38.051445000000001</v>
      </c>
      <c r="R40" s="977" t="s">
        <v>921</v>
      </c>
      <c r="S40" s="977"/>
      <c r="T40" s="965">
        <v>47.171731000000001</v>
      </c>
    </row>
    <row r="41" spans="1:20" x14ac:dyDescent="0.25">
      <c r="A41" s="917" t="s">
        <v>956</v>
      </c>
      <c r="B41" s="977"/>
      <c r="C41" s="977"/>
      <c r="D41" s="978"/>
      <c r="E41" s="977"/>
      <c r="F41" s="977"/>
      <c r="G41" s="978"/>
      <c r="H41" s="977"/>
      <c r="I41" s="963"/>
      <c r="J41" s="977"/>
      <c r="K41" s="977"/>
      <c r="L41" s="977"/>
      <c r="M41" s="977"/>
      <c r="N41" s="963"/>
      <c r="O41" s="964"/>
      <c r="P41" s="977"/>
      <c r="Q41" s="977"/>
      <c r="R41" s="977"/>
      <c r="S41" s="977"/>
      <c r="T41" s="965"/>
    </row>
    <row r="42" spans="1:20" x14ac:dyDescent="0.25">
      <c r="A42" s="917" t="s">
        <v>957</v>
      </c>
      <c r="B42" s="977">
        <v>111.664068</v>
      </c>
      <c r="C42" s="977"/>
      <c r="D42" s="978"/>
      <c r="E42" s="977"/>
      <c r="F42" s="977">
        <v>30.480779999999999</v>
      </c>
      <c r="G42" s="978"/>
      <c r="H42" s="977">
        <v>7.9749439999999998</v>
      </c>
      <c r="I42" s="963">
        <v>150.11979199999999</v>
      </c>
      <c r="J42" s="977"/>
      <c r="K42" s="977"/>
      <c r="L42" s="977"/>
      <c r="M42" s="977"/>
      <c r="N42" s="963"/>
      <c r="O42" s="964">
        <v>150.11979199999999</v>
      </c>
      <c r="P42" s="977">
        <v>38.455723999999996</v>
      </c>
      <c r="Q42" s="977">
        <v>150.11979199999999</v>
      </c>
      <c r="R42" s="977"/>
      <c r="S42" s="977"/>
      <c r="T42" s="965">
        <v>150.11979199999999</v>
      </c>
    </row>
    <row r="43" spans="1:20" x14ac:dyDescent="0.25">
      <c r="A43" s="917" t="s">
        <v>958</v>
      </c>
      <c r="B43" s="977" t="s">
        <v>921</v>
      </c>
      <c r="C43" s="977"/>
      <c r="D43" s="978"/>
      <c r="E43" s="977" t="s">
        <v>921</v>
      </c>
      <c r="F43" s="977"/>
      <c r="G43" s="978"/>
      <c r="H43" s="977"/>
      <c r="I43" s="963">
        <v>13.554107999999999</v>
      </c>
      <c r="J43" s="977"/>
      <c r="K43" s="977"/>
      <c r="L43" s="977"/>
      <c r="M43" s="977"/>
      <c r="N43" s="963"/>
      <c r="O43" s="964">
        <v>13.554107999999999</v>
      </c>
      <c r="P43" s="977" t="s">
        <v>921</v>
      </c>
      <c r="Q43" s="977">
        <v>13.554107999999999</v>
      </c>
      <c r="R43" s="977"/>
      <c r="S43" s="977"/>
      <c r="T43" s="965">
        <v>13.554107999999999</v>
      </c>
    </row>
    <row r="44" spans="1:20" x14ac:dyDescent="0.25">
      <c r="A44" s="917" t="s">
        <v>959</v>
      </c>
      <c r="B44" s="977"/>
      <c r="C44" s="977"/>
      <c r="D44" s="978"/>
      <c r="E44" s="977"/>
      <c r="F44" s="977"/>
      <c r="G44" s="978"/>
      <c r="H44" s="977"/>
      <c r="I44" s="963"/>
      <c r="J44" s="977"/>
      <c r="K44" s="977"/>
      <c r="L44" s="977"/>
      <c r="M44" s="977"/>
      <c r="N44" s="963"/>
      <c r="O44" s="964"/>
      <c r="P44" s="977"/>
      <c r="Q44" s="977"/>
      <c r="R44" s="977"/>
      <c r="S44" s="977"/>
      <c r="T44" s="965"/>
    </row>
    <row r="45" spans="1:20" x14ac:dyDescent="0.25">
      <c r="A45" s="917" t="s">
        <v>960</v>
      </c>
      <c r="B45" s="977">
        <v>15.534779</v>
      </c>
      <c r="C45" s="977"/>
      <c r="D45" s="978"/>
      <c r="E45" s="977">
        <v>4.9333539999999996</v>
      </c>
      <c r="F45" s="977" t="s">
        <v>921</v>
      </c>
      <c r="G45" s="978"/>
      <c r="H45" s="977">
        <v>27.806059999999999</v>
      </c>
      <c r="I45" s="963">
        <v>49.419885000000001</v>
      </c>
      <c r="J45" s="977"/>
      <c r="K45" s="977"/>
      <c r="L45" s="977"/>
      <c r="M45" s="977"/>
      <c r="N45" s="963"/>
      <c r="O45" s="964">
        <v>49.419885000000001</v>
      </c>
      <c r="P45" s="977">
        <v>46.059972000000002</v>
      </c>
      <c r="Q45" s="977">
        <v>49.419885000000001</v>
      </c>
      <c r="R45" s="977"/>
      <c r="S45" s="977"/>
      <c r="T45" s="965">
        <v>49.419885000000001</v>
      </c>
    </row>
    <row r="46" spans="1:20" x14ac:dyDescent="0.25">
      <c r="A46" s="926" t="s">
        <v>961</v>
      </c>
      <c r="B46" s="977" t="s">
        <v>921</v>
      </c>
      <c r="C46" s="977"/>
      <c r="D46" s="978"/>
      <c r="E46" s="977"/>
      <c r="F46" s="977" t="s">
        <v>921</v>
      </c>
      <c r="G46" s="978"/>
      <c r="H46" s="977">
        <v>3.013617</v>
      </c>
      <c r="I46" s="963">
        <v>84.566469999999995</v>
      </c>
      <c r="J46" s="977"/>
      <c r="K46" s="977"/>
      <c r="L46" s="977"/>
      <c r="M46" s="977"/>
      <c r="N46" s="963"/>
      <c r="O46" s="964">
        <v>84.566469999999995</v>
      </c>
      <c r="P46" s="977">
        <v>78.033507999999998</v>
      </c>
      <c r="Q46" s="977">
        <v>84.566469999999995</v>
      </c>
      <c r="R46" s="977"/>
      <c r="S46" s="977"/>
      <c r="T46" s="965">
        <v>84.566469999999995</v>
      </c>
    </row>
    <row r="47" spans="1:20" x14ac:dyDescent="0.25">
      <c r="A47" s="927" t="s">
        <v>962</v>
      </c>
      <c r="B47" s="924"/>
      <c r="C47" s="924"/>
      <c r="D47" s="925"/>
      <c r="E47" s="924"/>
      <c r="F47" s="924"/>
      <c r="G47" s="925"/>
      <c r="H47" s="924"/>
      <c r="I47" s="941"/>
      <c r="J47" s="924"/>
      <c r="K47" s="924"/>
      <c r="L47" s="924"/>
      <c r="M47" s="924"/>
      <c r="N47" s="941"/>
      <c r="O47" s="941"/>
      <c r="P47" s="924"/>
      <c r="Q47" s="924"/>
      <c r="R47" s="924"/>
      <c r="S47" s="924"/>
      <c r="T47" s="924"/>
    </row>
    <row r="48" spans="1:20" s="948" customFormat="1" ht="15.75" thickBot="1" x14ac:dyDescent="0.3">
      <c r="A48" s="928" t="s">
        <v>116</v>
      </c>
      <c r="B48" s="967">
        <v>3555.424336</v>
      </c>
      <c r="C48" s="967">
        <v>1177.6493</v>
      </c>
      <c r="D48" s="968" t="s">
        <v>921</v>
      </c>
      <c r="E48" s="967">
        <v>2648.6286249999998</v>
      </c>
      <c r="F48" s="967">
        <v>496.39385199999998</v>
      </c>
      <c r="G48" s="968" t="s">
        <v>921</v>
      </c>
      <c r="H48" s="967">
        <v>2276.4885869999998</v>
      </c>
      <c r="I48" s="967">
        <v>10154.584699999999</v>
      </c>
      <c r="J48" s="967" t="s">
        <v>921</v>
      </c>
      <c r="K48" s="967"/>
      <c r="L48" s="967"/>
      <c r="M48" s="967"/>
      <c r="N48" s="967" t="s">
        <v>921</v>
      </c>
      <c r="O48" s="967">
        <v>10222.662139</v>
      </c>
      <c r="P48" s="967">
        <v>5598.4860749999998</v>
      </c>
      <c r="Q48" s="967">
        <v>7662.458971</v>
      </c>
      <c r="R48" s="967">
        <v>1311.9598209999999</v>
      </c>
      <c r="S48" s="967">
        <v>476.959902</v>
      </c>
      <c r="T48" s="967">
        <v>9451.3786940000009</v>
      </c>
    </row>
    <row r="49" spans="1:20" ht="15.75" thickTop="1" x14ac:dyDescent="0.25">
      <c r="A49" s="935" t="s">
        <v>963</v>
      </c>
      <c r="B49" s="979"/>
      <c r="C49" s="979"/>
      <c r="D49" s="980"/>
      <c r="E49" s="979"/>
      <c r="F49" s="979">
        <v>108.551627</v>
      </c>
      <c r="G49" s="980"/>
      <c r="H49" s="979"/>
      <c r="I49" s="971">
        <v>108.551627</v>
      </c>
      <c r="J49" s="979"/>
      <c r="K49" s="979"/>
      <c r="L49" s="979"/>
      <c r="M49" s="979"/>
      <c r="N49" s="971"/>
      <c r="O49" s="972">
        <v>108.551627</v>
      </c>
      <c r="P49" s="979">
        <v>108.551627</v>
      </c>
      <c r="Q49" s="979"/>
      <c r="R49" s="979"/>
      <c r="S49" s="979">
        <v>108.551627</v>
      </c>
      <c r="T49" s="981">
        <v>108.551627</v>
      </c>
    </row>
    <row r="50" spans="1:20" x14ac:dyDescent="0.25">
      <c r="A50" s="938" t="s">
        <v>964</v>
      </c>
      <c r="B50" s="977"/>
      <c r="C50" s="977"/>
      <c r="D50" s="978"/>
      <c r="E50" s="977"/>
      <c r="F50" s="977"/>
      <c r="G50" s="978"/>
      <c r="H50" s="977"/>
      <c r="I50" s="973"/>
      <c r="J50" s="977"/>
      <c r="K50" s="977"/>
      <c r="L50" s="977"/>
      <c r="M50" s="977"/>
      <c r="N50" s="973"/>
      <c r="O50" s="974"/>
      <c r="P50" s="977"/>
      <c r="Q50" s="977"/>
      <c r="R50" s="977"/>
      <c r="S50" s="977"/>
      <c r="T50" s="982"/>
    </row>
    <row r="51" spans="1:20" x14ac:dyDescent="0.25">
      <c r="A51" s="938" t="s">
        <v>965</v>
      </c>
      <c r="B51" s="977" t="s">
        <v>921</v>
      </c>
      <c r="C51" s="977"/>
      <c r="D51" s="978"/>
      <c r="E51" s="977"/>
      <c r="F51" s="977"/>
      <c r="G51" s="978"/>
      <c r="H51" s="977"/>
      <c r="I51" s="973" t="s">
        <v>921</v>
      </c>
      <c r="J51" s="977"/>
      <c r="K51" s="977"/>
      <c r="L51" s="977"/>
      <c r="M51" s="977"/>
      <c r="N51" s="973"/>
      <c r="O51" s="974" t="s">
        <v>921</v>
      </c>
      <c r="P51" s="977" t="s">
        <v>921</v>
      </c>
      <c r="Q51" s="977" t="s">
        <v>921</v>
      </c>
      <c r="R51" s="977"/>
      <c r="S51" s="977"/>
      <c r="T51" s="982" t="s">
        <v>921</v>
      </c>
    </row>
    <row r="52" spans="1:20" x14ac:dyDescent="0.25">
      <c r="A52" s="938" t="s">
        <v>966</v>
      </c>
      <c r="B52" s="977"/>
      <c r="C52" s="977"/>
      <c r="D52" s="978"/>
      <c r="E52" s="977"/>
      <c r="F52" s="977"/>
      <c r="G52" s="978"/>
      <c r="H52" s="977">
        <v>13.831994999999999</v>
      </c>
      <c r="I52" s="973">
        <v>13.831994999999999</v>
      </c>
      <c r="J52" s="977"/>
      <c r="K52" s="977"/>
      <c r="L52" s="977"/>
      <c r="M52" s="977"/>
      <c r="N52" s="973"/>
      <c r="O52" s="974">
        <v>13.831994999999999</v>
      </c>
      <c r="P52" s="977">
        <v>13.831994999999999</v>
      </c>
      <c r="Q52" s="977">
        <v>13.831994999999999</v>
      </c>
      <c r="R52" s="977"/>
      <c r="S52" s="977"/>
      <c r="T52" s="982">
        <v>13.831994999999999</v>
      </c>
    </row>
    <row r="53" spans="1:20" x14ac:dyDescent="0.25">
      <c r="A53" s="938" t="s">
        <v>967</v>
      </c>
      <c r="B53" s="977"/>
      <c r="C53" s="977"/>
      <c r="D53" s="978"/>
      <c r="E53" s="977"/>
      <c r="F53" s="977"/>
      <c r="G53" s="978"/>
      <c r="H53" s="977"/>
      <c r="I53" s="973"/>
      <c r="J53" s="977"/>
      <c r="K53" s="977"/>
      <c r="L53" s="977"/>
      <c r="M53" s="977"/>
      <c r="N53" s="973"/>
      <c r="O53" s="974"/>
      <c r="P53" s="977"/>
      <c r="Q53" s="977"/>
      <c r="R53" s="977"/>
      <c r="S53" s="977"/>
      <c r="T53" s="982"/>
    </row>
    <row r="54" spans="1:20" x14ac:dyDescent="0.25">
      <c r="A54" s="938" t="s">
        <v>968</v>
      </c>
      <c r="B54" s="977"/>
      <c r="C54" s="977"/>
      <c r="D54" s="978"/>
      <c r="E54" s="977"/>
      <c r="F54" s="977"/>
      <c r="G54" s="978"/>
      <c r="H54" s="977"/>
      <c r="I54" s="973"/>
      <c r="J54" s="977"/>
      <c r="K54" s="977"/>
      <c r="L54" s="977"/>
      <c r="M54" s="977"/>
      <c r="N54" s="973"/>
      <c r="O54" s="974"/>
      <c r="P54" s="977"/>
      <c r="Q54" s="977"/>
      <c r="R54" s="977"/>
      <c r="S54" s="977"/>
      <c r="T54" s="982"/>
    </row>
    <row r="55" spans="1:20" x14ac:dyDescent="0.25">
      <c r="A55" s="938" t="s">
        <v>969</v>
      </c>
      <c r="B55" s="977"/>
      <c r="C55" s="977"/>
      <c r="D55" s="978"/>
      <c r="E55" s="977"/>
      <c r="F55" s="977"/>
      <c r="G55" s="978"/>
      <c r="H55" s="977"/>
      <c r="I55" s="973"/>
      <c r="J55" s="977"/>
      <c r="K55" s="977"/>
      <c r="L55" s="977"/>
      <c r="M55" s="977"/>
      <c r="N55" s="973"/>
      <c r="O55" s="974"/>
      <c r="P55" s="977"/>
      <c r="Q55" s="977"/>
      <c r="R55" s="977"/>
      <c r="S55" s="977"/>
      <c r="T55" s="982"/>
    </row>
    <row r="56" spans="1:20" x14ac:dyDescent="0.25">
      <c r="A56" s="938" t="s">
        <v>970</v>
      </c>
      <c r="B56" s="977" t="s">
        <v>921</v>
      </c>
      <c r="C56" s="977"/>
      <c r="D56" s="978"/>
      <c r="E56" s="977"/>
      <c r="F56" s="977"/>
      <c r="G56" s="978"/>
      <c r="H56" s="977"/>
      <c r="I56" s="973" t="s">
        <v>921</v>
      </c>
      <c r="J56" s="977"/>
      <c r="K56" s="977"/>
      <c r="L56" s="977"/>
      <c r="M56" s="977"/>
      <c r="N56" s="973"/>
      <c r="O56" s="974" t="s">
        <v>921</v>
      </c>
      <c r="P56" s="977" t="s">
        <v>921</v>
      </c>
      <c r="Q56" s="977" t="s">
        <v>921</v>
      </c>
      <c r="R56" s="977"/>
      <c r="S56" s="977"/>
      <c r="T56" s="982" t="s">
        <v>921</v>
      </c>
    </row>
    <row r="57" spans="1:20" x14ac:dyDescent="0.25">
      <c r="A57" s="938" t="s">
        <v>971</v>
      </c>
      <c r="B57" s="977"/>
      <c r="C57" s="977"/>
      <c r="D57" s="978"/>
      <c r="E57" s="977"/>
      <c r="F57" s="977"/>
      <c r="G57" s="978"/>
      <c r="H57" s="977"/>
      <c r="I57" s="973"/>
      <c r="J57" s="977"/>
      <c r="K57" s="977"/>
      <c r="L57" s="977"/>
      <c r="M57" s="977"/>
      <c r="N57" s="973"/>
      <c r="O57" s="974"/>
      <c r="P57" s="977"/>
      <c r="Q57" s="977"/>
      <c r="R57" s="977"/>
      <c r="S57" s="977"/>
      <c r="T57" s="982"/>
    </row>
    <row r="58" spans="1:20" x14ac:dyDescent="0.25">
      <c r="A58" s="938" t="s">
        <v>972</v>
      </c>
      <c r="B58" s="977" t="s">
        <v>921</v>
      </c>
      <c r="C58" s="977" t="s">
        <v>921</v>
      </c>
      <c r="D58" s="978"/>
      <c r="E58" s="977" t="s">
        <v>921</v>
      </c>
      <c r="F58" s="977"/>
      <c r="G58" s="978"/>
      <c r="H58" s="977"/>
      <c r="I58" s="973">
        <v>26.175992000000001</v>
      </c>
      <c r="J58" s="977"/>
      <c r="K58" s="977"/>
      <c r="L58" s="977"/>
      <c r="M58" s="977"/>
      <c r="N58" s="973"/>
      <c r="O58" s="974">
        <v>26.175992000000001</v>
      </c>
      <c r="P58" s="977"/>
      <c r="Q58" s="977">
        <v>16.821639000000001</v>
      </c>
      <c r="R58" s="977" t="s">
        <v>921</v>
      </c>
      <c r="S58" s="977"/>
      <c r="T58" s="982">
        <v>26.175992000000001</v>
      </c>
    </row>
    <row r="59" spans="1:20" x14ac:dyDescent="0.25">
      <c r="A59" s="938" t="s">
        <v>973</v>
      </c>
      <c r="B59" s="977"/>
      <c r="C59" s="977"/>
      <c r="D59" s="978"/>
      <c r="E59" s="977"/>
      <c r="F59" s="977"/>
      <c r="G59" s="978"/>
      <c r="H59" s="977"/>
      <c r="I59" s="973"/>
      <c r="J59" s="977"/>
      <c r="K59" s="977"/>
      <c r="L59" s="977"/>
      <c r="M59" s="977"/>
      <c r="N59" s="973"/>
      <c r="O59" s="974"/>
      <c r="P59" s="977"/>
      <c r="Q59" s="977"/>
      <c r="R59" s="977"/>
      <c r="S59" s="977"/>
      <c r="T59" s="982"/>
    </row>
    <row r="60" spans="1:20" x14ac:dyDescent="0.25">
      <c r="A60" s="938" t="s">
        <v>974</v>
      </c>
      <c r="B60" s="977"/>
      <c r="C60" s="977"/>
      <c r="D60" s="978"/>
      <c r="E60" s="977" t="s">
        <v>921</v>
      </c>
      <c r="F60" s="977"/>
      <c r="G60" s="978"/>
      <c r="H60" s="977"/>
      <c r="I60" s="973" t="s">
        <v>921</v>
      </c>
      <c r="J60" s="977"/>
      <c r="K60" s="977"/>
      <c r="L60" s="977"/>
      <c r="M60" s="977"/>
      <c r="N60" s="973"/>
      <c r="O60" s="974" t="s">
        <v>921</v>
      </c>
      <c r="P60" s="977"/>
      <c r="Q60" s="977" t="s">
        <v>921</v>
      </c>
      <c r="R60" s="977"/>
      <c r="S60" s="977"/>
      <c r="T60" s="982" t="s">
        <v>921</v>
      </c>
    </row>
    <row r="61" spans="1:20" x14ac:dyDescent="0.25">
      <c r="A61" s="938" t="s">
        <v>975</v>
      </c>
      <c r="B61" s="977"/>
      <c r="C61" s="977"/>
      <c r="D61" s="978"/>
      <c r="E61" s="977"/>
      <c r="F61" s="977"/>
      <c r="G61" s="978"/>
      <c r="H61" s="977"/>
      <c r="I61" s="973"/>
      <c r="J61" s="977"/>
      <c r="K61" s="977"/>
      <c r="L61" s="977"/>
      <c r="M61" s="977"/>
      <c r="N61" s="973"/>
      <c r="O61" s="974"/>
      <c r="P61" s="977"/>
      <c r="Q61" s="977"/>
      <c r="R61" s="977"/>
      <c r="S61" s="977"/>
      <c r="T61" s="982"/>
    </row>
    <row r="62" spans="1:20" x14ac:dyDescent="0.25">
      <c r="A62" s="938" t="s">
        <v>976</v>
      </c>
      <c r="B62" s="977"/>
      <c r="C62" s="977"/>
      <c r="D62" s="978"/>
      <c r="E62" s="977" t="s">
        <v>921</v>
      </c>
      <c r="F62" s="977"/>
      <c r="G62" s="978"/>
      <c r="H62" s="977"/>
      <c r="I62" s="973" t="s">
        <v>921</v>
      </c>
      <c r="J62" s="977"/>
      <c r="K62" s="977"/>
      <c r="L62" s="977"/>
      <c r="M62" s="977"/>
      <c r="N62" s="973"/>
      <c r="O62" s="974" t="s">
        <v>921</v>
      </c>
      <c r="P62" s="977"/>
      <c r="Q62" s="977"/>
      <c r="R62" s="977" t="s">
        <v>921</v>
      </c>
      <c r="S62" s="977"/>
      <c r="T62" s="982" t="s">
        <v>921</v>
      </c>
    </row>
    <row r="63" spans="1:20" x14ac:dyDescent="0.25">
      <c r="A63" s="938" t="s">
        <v>977</v>
      </c>
      <c r="B63" s="977" t="s">
        <v>921</v>
      </c>
      <c r="C63" s="977"/>
      <c r="D63" s="978"/>
      <c r="E63" s="977" t="s">
        <v>921</v>
      </c>
      <c r="F63" s="977"/>
      <c r="G63" s="978"/>
      <c r="H63" s="977"/>
      <c r="I63" s="973">
        <v>33.871552999999999</v>
      </c>
      <c r="J63" s="977"/>
      <c r="K63" s="977"/>
      <c r="L63" s="977"/>
      <c r="M63" s="977"/>
      <c r="N63" s="973"/>
      <c r="O63" s="974">
        <v>33.871552999999999</v>
      </c>
      <c r="P63" s="977"/>
      <c r="Q63" s="977" t="s">
        <v>921</v>
      </c>
      <c r="R63" s="977"/>
      <c r="S63" s="977"/>
      <c r="T63" s="982" t="s">
        <v>921</v>
      </c>
    </row>
    <row r="64" spans="1:20" x14ac:dyDescent="0.25">
      <c r="A64" s="910" t="s">
        <v>136</v>
      </c>
      <c r="B64" s="924">
        <v>19.928988</v>
      </c>
      <c r="C64" s="924"/>
      <c r="D64" s="925"/>
      <c r="E64" s="924"/>
      <c r="F64" s="924"/>
      <c r="G64" s="925"/>
      <c r="H64" s="924"/>
      <c r="I64" s="941">
        <v>19.928988</v>
      </c>
      <c r="J64" s="924"/>
      <c r="K64" s="924"/>
      <c r="L64" s="924"/>
      <c r="M64" s="924"/>
      <c r="N64" s="941"/>
      <c r="O64" s="941">
        <v>19.928988</v>
      </c>
      <c r="P64" s="924" t="s">
        <v>921</v>
      </c>
      <c r="Q64" s="924">
        <v>19.928988</v>
      </c>
      <c r="R64" s="924"/>
      <c r="S64" s="924"/>
      <c r="T64" s="924">
        <v>19.928988</v>
      </c>
    </row>
    <row r="65" spans="1:20" x14ac:dyDescent="0.25">
      <c r="A65" s="939" t="s">
        <v>978</v>
      </c>
      <c r="B65" s="977"/>
      <c r="C65" s="977"/>
      <c r="D65" s="978"/>
      <c r="E65" s="977"/>
      <c r="F65" s="977"/>
      <c r="G65" s="978"/>
      <c r="H65" s="977"/>
      <c r="I65" s="973"/>
      <c r="J65" s="977"/>
      <c r="K65" s="977"/>
      <c r="L65" s="977"/>
      <c r="M65" s="977"/>
      <c r="N65" s="973"/>
      <c r="O65" s="974"/>
      <c r="P65" s="977"/>
      <c r="Q65" s="977"/>
      <c r="R65" s="977"/>
      <c r="S65" s="977"/>
      <c r="T65" s="982"/>
    </row>
    <row r="66" spans="1:20" x14ac:dyDescent="0.25">
      <c r="A66" s="939" t="s">
        <v>979</v>
      </c>
      <c r="B66" s="977"/>
      <c r="C66" s="977"/>
      <c r="D66" s="978"/>
      <c r="E66" s="977"/>
      <c r="F66" s="977"/>
      <c r="G66" s="978"/>
      <c r="H66" s="977"/>
      <c r="I66" s="973"/>
      <c r="J66" s="977"/>
      <c r="K66" s="977"/>
      <c r="L66" s="977"/>
      <c r="M66" s="977"/>
      <c r="N66" s="973"/>
      <c r="O66" s="974"/>
      <c r="P66" s="977"/>
      <c r="Q66" s="977"/>
      <c r="R66" s="977"/>
      <c r="S66" s="977"/>
      <c r="T66" s="982"/>
    </row>
    <row r="67" spans="1:20" x14ac:dyDescent="0.25">
      <c r="A67" s="939" t="s">
        <v>980</v>
      </c>
      <c r="B67" s="977"/>
      <c r="C67" s="977"/>
      <c r="D67" s="978"/>
      <c r="E67" s="977"/>
      <c r="F67" s="977"/>
      <c r="G67" s="978"/>
      <c r="H67" s="977"/>
      <c r="I67" s="973"/>
      <c r="J67" s="977"/>
      <c r="K67" s="977"/>
      <c r="L67" s="977"/>
      <c r="M67" s="977"/>
      <c r="N67" s="973"/>
      <c r="O67" s="974"/>
      <c r="P67" s="977"/>
      <c r="Q67" s="977"/>
      <c r="R67" s="977"/>
      <c r="S67" s="977"/>
      <c r="T67" s="982"/>
    </row>
    <row r="68" spans="1:20" x14ac:dyDescent="0.25">
      <c r="A68" s="939" t="s">
        <v>981</v>
      </c>
      <c r="B68" s="977"/>
      <c r="C68" s="977"/>
      <c r="D68" s="978"/>
      <c r="E68" s="977"/>
      <c r="F68" s="977"/>
      <c r="G68" s="978"/>
      <c r="H68" s="977"/>
      <c r="I68" s="973"/>
      <c r="J68" s="977"/>
      <c r="K68" s="977"/>
      <c r="L68" s="977"/>
      <c r="M68" s="977"/>
      <c r="N68" s="973"/>
      <c r="O68" s="974"/>
      <c r="P68" s="977"/>
      <c r="Q68" s="977"/>
      <c r="R68" s="977"/>
      <c r="S68" s="977"/>
      <c r="T68" s="982"/>
    </row>
    <row r="69" spans="1:20" x14ac:dyDescent="0.25">
      <c r="A69" s="939" t="s">
        <v>982</v>
      </c>
      <c r="B69" s="977"/>
      <c r="C69" s="977"/>
      <c r="D69" s="978"/>
      <c r="E69" s="977"/>
      <c r="F69" s="977"/>
      <c r="G69" s="978"/>
      <c r="H69" s="977"/>
      <c r="I69" s="973"/>
      <c r="J69" s="977"/>
      <c r="K69" s="977"/>
      <c r="L69" s="977"/>
      <c r="M69" s="977"/>
      <c r="N69" s="973"/>
      <c r="O69" s="974"/>
      <c r="P69" s="977"/>
      <c r="Q69" s="977"/>
      <c r="R69" s="977"/>
      <c r="S69" s="977"/>
      <c r="T69" s="982"/>
    </row>
    <row r="70" spans="1:20" x14ac:dyDescent="0.25">
      <c r="A70" s="939" t="s">
        <v>983</v>
      </c>
      <c r="B70" s="977"/>
      <c r="C70" s="977"/>
      <c r="D70" s="978"/>
      <c r="E70" s="977"/>
      <c r="F70" s="977"/>
      <c r="G70" s="978"/>
      <c r="H70" s="977"/>
      <c r="I70" s="973"/>
      <c r="J70" s="977"/>
      <c r="K70" s="977"/>
      <c r="L70" s="977"/>
      <c r="M70" s="977"/>
      <c r="N70" s="973"/>
      <c r="O70" s="974"/>
      <c r="P70" s="977"/>
      <c r="Q70" s="977"/>
      <c r="R70" s="977"/>
      <c r="S70" s="977"/>
      <c r="T70" s="982"/>
    </row>
    <row r="71" spans="1:20" x14ac:dyDescent="0.25">
      <c r="A71" s="939" t="s">
        <v>984</v>
      </c>
      <c r="B71" s="977"/>
      <c r="C71" s="977"/>
      <c r="D71" s="978"/>
      <c r="E71" s="977"/>
      <c r="F71" s="977"/>
      <c r="G71" s="978"/>
      <c r="H71" s="977"/>
      <c r="I71" s="973"/>
      <c r="J71" s="977"/>
      <c r="K71" s="977"/>
      <c r="L71" s="977"/>
      <c r="M71" s="977"/>
      <c r="N71" s="973"/>
      <c r="O71" s="974"/>
      <c r="P71" s="977"/>
      <c r="Q71" s="977"/>
      <c r="R71" s="977"/>
      <c r="S71" s="977"/>
      <c r="T71" s="982"/>
    </row>
    <row r="72" spans="1:20" x14ac:dyDescent="0.25">
      <c r="A72" s="939" t="s">
        <v>985</v>
      </c>
      <c r="B72" s="977"/>
      <c r="C72" s="977"/>
      <c r="D72" s="978"/>
      <c r="E72" s="977"/>
      <c r="F72" s="977"/>
      <c r="G72" s="978"/>
      <c r="H72" s="977"/>
      <c r="I72" s="973"/>
      <c r="J72" s="977"/>
      <c r="K72" s="977"/>
      <c r="L72" s="977"/>
      <c r="M72" s="977"/>
      <c r="N72" s="973"/>
      <c r="O72" s="974"/>
      <c r="P72" s="977"/>
      <c r="Q72" s="977"/>
      <c r="R72" s="977"/>
      <c r="S72" s="977"/>
      <c r="T72" s="982"/>
    </row>
    <row r="73" spans="1:20" x14ac:dyDescent="0.25">
      <c r="A73" s="939" t="s">
        <v>986</v>
      </c>
      <c r="B73" s="977"/>
      <c r="C73" s="977"/>
      <c r="D73" s="978"/>
      <c r="E73" s="977"/>
      <c r="F73" s="977"/>
      <c r="G73" s="978"/>
      <c r="H73" s="977"/>
      <c r="I73" s="973"/>
      <c r="J73" s="977"/>
      <c r="K73" s="977"/>
      <c r="L73" s="977"/>
      <c r="M73" s="977"/>
      <c r="N73" s="973"/>
      <c r="O73" s="974"/>
      <c r="P73" s="977"/>
      <c r="Q73" s="977"/>
      <c r="R73" s="977"/>
      <c r="S73" s="977"/>
      <c r="T73" s="982"/>
    </row>
    <row r="74" spans="1:20" x14ac:dyDescent="0.25">
      <c r="A74" s="939" t="s">
        <v>987</v>
      </c>
      <c r="B74" s="977"/>
      <c r="C74" s="977"/>
      <c r="D74" s="978"/>
      <c r="E74" s="977"/>
      <c r="F74" s="977"/>
      <c r="G74" s="978"/>
      <c r="H74" s="977"/>
      <c r="I74" s="973"/>
      <c r="J74" s="977"/>
      <c r="K74" s="977"/>
      <c r="L74" s="977"/>
      <c r="M74" s="977"/>
      <c r="N74" s="973"/>
      <c r="O74" s="974"/>
      <c r="P74" s="977"/>
      <c r="Q74" s="977"/>
      <c r="R74" s="977"/>
      <c r="S74" s="977"/>
      <c r="T74" s="982"/>
    </row>
    <row r="75" spans="1:20" x14ac:dyDescent="0.25">
      <c r="A75" s="939" t="s">
        <v>988</v>
      </c>
      <c r="B75" s="977"/>
      <c r="C75" s="977"/>
      <c r="D75" s="978"/>
      <c r="E75" s="977"/>
      <c r="F75" s="977"/>
      <c r="G75" s="978"/>
      <c r="H75" s="977"/>
      <c r="I75" s="973"/>
      <c r="J75" s="977"/>
      <c r="K75" s="977"/>
      <c r="L75" s="977"/>
      <c r="M75" s="977"/>
      <c r="N75" s="973"/>
      <c r="O75" s="974"/>
      <c r="P75" s="977"/>
      <c r="Q75" s="977"/>
      <c r="R75" s="977"/>
      <c r="S75" s="977"/>
      <c r="T75" s="982"/>
    </row>
    <row r="76" spans="1:20" x14ac:dyDescent="0.25">
      <c r="A76" s="939" t="s">
        <v>989</v>
      </c>
      <c r="B76" s="977" t="s">
        <v>921</v>
      </c>
      <c r="C76" s="977"/>
      <c r="D76" s="978"/>
      <c r="E76" s="977"/>
      <c r="F76" s="977"/>
      <c r="G76" s="978"/>
      <c r="H76" s="977"/>
      <c r="I76" s="973" t="s">
        <v>921</v>
      </c>
      <c r="J76" s="977"/>
      <c r="K76" s="977"/>
      <c r="L76" s="977"/>
      <c r="M76" s="977"/>
      <c r="N76" s="973"/>
      <c r="O76" s="974" t="s">
        <v>921</v>
      </c>
      <c r="P76" s="977" t="s">
        <v>921</v>
      </c>
      <c r="Q76" s="977" t="s">
        <v>921</v>
      </c>
      <c r="R76" s="977"/>
      <c r="S76" s="977"/>
      <c r="T76" s="982" t="s">
        <v>921</v>
      </c>
    </row>
    <row r="77" spans="1:20" x14ac:dyDescent="0.25">
      <c r="A77" s="939" t="s">
        <v>990</v>
      </c>
      <c r="B77" s="977"/>
      <c r="C77" s="977"/>
      <c r="D77" s="978"/>
      <c r="E77" s="977"/>
      <c r="F77" s="977"/>
      <c r="G77" s="978"/>
      <c r="H77" s="977"/>
      <c r="I77" s="973"/>
      <c r="J77" s="977"/>
      <c r="K77" s="977"/>
      <c r="L77" s="977"/>
      <c r="M77" s="977"/>
      <c r="N77" s="973"/>
      <c r="O77" s="974"/>
      <c r="P77" s="977"/>
      <c r="Q77" s="977"/>
      <c r="R77" s="977"/>
      <c r="S77" s="977"/>
      <c r="T77" s="982"/>
    </row>
    <row r="78" spans="1:20" x14ac:dyDescent="0.25">
      <c r="A78" s="939" t="s">
        <v>991</v>
      </c>
      <c r="B78" s="977"/>
      <c r="C78" s="977"/>
      <c r="D78" s="978"/>
      <c r="E78" s="977"/>
      <c r="F78" s="977"/>
      <c r="G78" s="978"/>
      <c r="H78" s="977"/>
      <c r="I78" s="973"/>
      <c r="J78" s="977"/>
      <c r="K78" s="977"/>
      <c r="L78" s="977"/>
      <c r="M78" s="977"/>
      <c r="N78" s="973"/>
      <c r="O78" s="974"/>
      <c r="P78" s="977"/>
      <c r="Q78" s="977"/>
      <c r="R78" s="977"/>
      <c r="S78" s="977"/>
      <c r="T78" s="982"/>
    </row>
    <row r="79" spans="1:20" x14ac:dyDescent="0.25">
      <c r="A79" s="939" t="s">
        <v>992</v>
      </c>
      <c r="B79" s="977"/>
      <c r="C79" s="977"/>
      <c r="D79" s="978"/>
      <c r="E79" s="977"/>
      <c r="F79" s="977"/>
      <c r="G79" s="978"/>
      <c r="H79" s="977"/>
      <c r="I79" s="973"/>
      <c r="J79" s="977"/>
      <c r="K79" s="977"/>
      <c r="L79" s="977"/>
      <c r="M79" s="977"/>
      <c r="N79" s="973"/>
      <c r="O79" s="974"/>
      <c r="P79" s="977"/>
      <c r="Q79" s="977"/>
      <c r="R79" s="977"/>
      <c r="S79" s="977"/>
      <c r="T79" s="982"/>
    </row>
    <row r="80" spans="1:20" x14ac:dyDescent="0.25">
      <c r="A80" s="939" t="s">
        <v>993</v>
      </c>
      <c r="B80" s="977"/>
      <c r="C80" s="977"/>
      <c r="D80" s="978"/>
      <c r="E80" s="977"/>
      <c r="F80" s="977"/>
      <c r="G80" s="978"/>
      <c r="H80" s="977"/>
      <c r="I80" s="973"/>
      <c r="J80" s="977"/>
      <c r="K80" s="977"/>
      <c r="L80" s="977"/>
      <c r="M80" s="977"/>
      <c r="N80" s="973"/>
      <c r="O80" s="974"/>
      <c r="P80" s="977"/>
      <c r="Q80" s="977"/>
      <c r="R80" s="977"/>
      <c r="S80" s="977"/>
      <c r="T80" s="982"/>
    </row>
    <row r="81" spans="1:20" x14ac:dyDescent="0.25">
      <c r="A81" s="939" t="s">
        <v>994</v>
      </c>
      <c r="B81" s="977" t="s">
        <v>921</v>
      </c>
      <c r="C81" s="977"/>
      <c r="D81" s="978"/>
      <c r="E81" s="977"/>
      <c r="F81" s="977"/>
      <c r="G81" s="978"/>
      <c r="H81" s="977"/>
      <c r="I81" s="973" t="s">
        <v>921</v>
      </c>
      <c r="J81" s="977"/>
      <c r="K81" s="977"/>
      <c r="L81" s="977"/>
      <c r="M81" s="977"/>
      <c r="N81" s="973"/>
      <c r="O81" s="974" t="s">
        <v>921</v>
      </c>
      <c r="P81" s="977" t="s">
        <v>921</v>
      </c>
      <c r="Q81" s="977" t="s">
        <v>921</v>
      </c>
      <c r="R81" s="977"/>
      <c r="S81" s="977"/>
      <c r="T81" s="982" t="s">
        <v>921</v>
      </c>
    </row>
    <row r="82" spans="1:20" x14ac:dyDescent="0.25">
      <c r="A82" s="939" t="s">
        <v>995</v>
      </c>
      <c r="B82" s="977"/>
      <c r="C82" s="977"/>
      <c r="D82" s="978"/>
      <c r="E82" s="977"/>
      <c r="F82" s="977"/>
      <c r="G82" s="978"/>
      <c r="H82" s="977"/>
      <c r="I82" s="973"/>
      <c r="J82" s="977"/>
      <c r="K82" s="977"/>
      <c r="L82" s="977"/>
      <c r="M82" s="977"/>
      <c r="N82" s="973"/>
      <c r="O82" s="974"/>
      <c r="P82" s="977"/>
      <c r="Q82" s="977"/>
      <c r="R82" s="977"/>
      <c r="S82" s="977"/>
      <c r="T82" s="982"/>
    </row>
    <row r="83" spans="1:20" s="948" customFormat="1" x14ac:dyDescent="0.25">
      <c r="A83" s="910" t="s">
        <v>137</v>
      </c>
      <c r="B83" s="941">
        <v>49.324494000000001</v>
      </c>
      <c r="C83" s="941" t="s">
        <v>921</v>
      </c>
      <c r="D83" s="942"/>
      <c r="E83" s="941">
        <v>86.755947000000006</v>
      </c>
      <c r="F83" s="941">
        <v>108.551627</v>
      </c>
      <c r="G83" s="942"/>
      <c r="H83" s="941">
        <v>13.831994999999999</v>
      </c>
      <c r="I83" s="941">
        <v>272.69166100000001</v>
      </c>
      <c r="J83" s="941"/>
      <c r="K83" s="941"/>
      <c r="L83" s="941"/>
      <c r="M83" s="941"/>
      <c r="N83" s="941"/>
      <c r="O83" s="941">
        <v>272.69166100000001</v>
      </c>
      <c r="P83" s="941">
        <v>154.07580400000001</v>
      </c>
      <c r="Q83" s="941">
        <v>84.295272999999995</v>
      </c>
      <c r="R83" s="941" t="s">
        <v>921</v>
      </c>
      <c r="S83" s="941">
        <v>108.551627</v>
      </c>
      <c r="T83" s="941">
        <v>252.790314</v>
      </c>
    </row>
    <row r="84" spans="1:20" s="948" customFormat="1" x14ac:dyDescent="0.25">
      <c r="A84" s="943" t="s">
        <v>996</v>
      </c>
      <c r="B84" s="930">
        <v>3604.74883</v>
      </c>
      <c r="C84" s="930">
        <v>1191.876898</v>
      </c>
      <c r="D84" s="931" t="s">
        <v>921</v>
      </c>
      <c r="E84" s="930">
        <v>2735.3845719999999</v>
      </c>
      <c r="F84" s="930">
        <v>604.94547899999998</v>
      </c>
      <c r="G84" s="931" t="s">
        <v>921</v>
      </c>
      <c r="H84" s="930">
        <v>2290.3205819999998</v>
      </c>
      <c r="I84" s="930">
        <v>10427.276361</v>
      </c>
      <c r="J84" s="930" t="s">
        <v>921</v>
      </c>
      <c r="K84" s="930"/>
      <c r="L84" s="930"/>
      <c r="M84" s="930"/>
      <c r="N84" s="930" t="s">
        <v>921</v>
      </c>
      <c r="O84" s="930">
        <v>10495.353800000001</v>
      </c>
      <c r="P84" s="930">
        <v>5752.5618789999999</v>
      </c>
      <c r="Q84" s="930">
        <v>7746.7542439999997</v>
      </c>
      <c r="R84" s="930">
        <v>1371.903235</v>
      </c>
      <c r="S84" s="930">
        <v>585.511529</v>
      </c>
      <c r="T84" s="930">
        <v>9704.1690080000008</v>
      </c>
    </row>
    <row r="85" spans="1:20" s="948" customFormat="1" x14ac:dyDescent="0.25"/>
    <row r="87" spans="1:20" ht="18.75" x14ac:dyDescent="0.25">
      <c r="A87" s="1056" t="s">
        <v>997</v>
      </c>
      <c r="B87" s="1057"/>
      <c r="C87" s="1057"/>
      <c r="D87" s="1057"/>
      <c r="E87" s="1057"/>
      <c r="F87" s="1057"/>
      <c r="G87" s="1057"/>
      <c r="H87" s="1057"/>
      <c r="I87" s="1057"/>
      <c r="J87" s="1057"/>
      <c r="K87" s="1057"/>
      <c r="L87" s="1057"/>
      <c r="M87" s="1057"/>
      <c r="N87" s="1057"/>
      <c r="O87" s="1057"/>
      <c r="P87" s="1057"/>
      <c r="Q87" s="1057"/>
      <c r="R87" s="1057"/>
      <c r="S87" s="1057"/>
      <c r="T87" s="1058"/>
    </row>
    <row r="88" spans="1:20" s="909" customFormat="1" x14ac:dyDescent="0.25">
      <c r="A88" s="1059" t="s">
        <v>493</v>
      </c>
      <c r="B88" s="1061" t="s">
        <v>906</v>
      </c>
      <c r="C88" s="1062"/>
      <c r="D88" s="1062"/>
      <c r="E88" s="1062"/>
      <c r="F88" s="1062"/>
      <c r="G88" s="1062"/>
      <c r="H88" s="1062"/>
      <c r="I88" s="1063"/>
      <c r="J88" s="1064" t="s">
        <v>907</v>
      </c>
      <c r="K88" s="1065"/>
      <c r="L88" s="1065"/>
      <c r="M88" s="1065"/>
      <c r="N88" s="1066"/>
      <c r="O88" s="1067" t="s">
        <v>908</v>
      </c>
      <c r="P88" s="1068"/>
      <c r="Q88" s="1068"/>
      <c r="R88" s="1068"/>
      <c r="S88" s="1068"/>
      <c r="T88" s="1069"/>
    </row>
    <row r="89" spans="1:20" ht="60" x14ac:dyDescent="0.25">
      <c r="A89" s="1060"/>
      <c r="B89" s="951" t="s">
        <v>909</v>
      </c>
      <c r="C89" s="951" t="s">
        <v>882</v>
      </c>
      <c r="D89" s="951" t="s">
        <v>910</v>
      </c>
      <c r="E89" s="951" t="s">
        <v>883</v>
      </c>
      <c r="F89" s="951" t="s">
        <v>911</v>
      </c>
      <c r="G89" s="951" t="s">
        <v>912</v>
      </c>
      <c r="H89" s="951" t="s">
        <v>913</v>
      </c>
      <c r="I89" s="951" t="s">
        <v>914</v>
      </c>
      <c r="J89" s="952" t="s">
        <v>640</v>
      </c>
      <c r="K89" s="952" t="s">
        <v>882</v>
      </c>
      <c r="L89" s="952" t="s">
        <v>885</v>
      </c>
      <c r="M89" s="952" t="s">
        <v>913</v>
      </c>
      <c r="N89" s="952" t="s">
        <v>915</v>
      </c>
      <c r="O89" s="953" t="s">
        <v>139</v>
      </c>
      <c r="P89" s="953" t="s">
        <v>916</v>
      </c>
      <c r="Q89" s="953" t="s">
        <v>917</v>
      </c>
      <c r="R89" s="953" t="s">
        <v>918</v>
      </c>
      <c r="S89" s="953" t="s">
        <v>919</v>
      </c>
      <c r="T89" s="953" t="s">
        <v>920</v>
      </c>
    </row>
    <row r="90" spans="1:20" x14ac:dyDescent="0.25">
      <c r="A90" s="954" t="s">
        <v>998</v>
      </c>
      <c r="B90" s="919">
        <v>1898.3292289999999</v>
      </c>
      <c r="C90" s="919">
        <v>446.69147700000002</v>
      </c>
      <c r="D90" s="920" t="s">
        <v>921</v>
      </c>
      <c r="E90" s="919">
        <v>715.02598399999999</v>
      </c>
      <c r="F90" s="919">
        <v>116.67016099999999</v>
      </c>
      <c r="G90" s="920" t="s">
        <v>921</v>
      </c>
      <c r="H90" s="919">
        <v>1246.5217689999999</v>
      </c>
      <c r="I90" s="955">
        <v>4423.2386200000001</v>
      </c>
      <c r="J90" s="919"/>
      <c r="K90" s="919"/>
      <c r="L90" s="919"/>
      <c r="M90" s="919"/>
      <c r="N90" s="955"/>
      <c r="O90" s="956">
        <v>4423.2386200000001</v>
      </c>
      <c r="P90" s="919">
        <v>2552.4321620000001</v>
      </c>
      <c r="Q90" s="919">
        <v>3856.6834549999999</v>
      </c>
      <c r="R90" s="919">
        <v>85.534245999999996</v>
      </c>
      <c r="S90" s="919" t="s">
        <v>921</v>
      </c>
      <c r="T90" s="956">
        <v>4302.2224850000002</v>
      </c>
    </row>
    <row r="91" spans="1:20" x14ac:dyDescent="0.25">
      <c r="A91" s="954" t="s">
        <v>999</v>
      </c>
      <c r="B91" s="919">
        <v>1346.053748</v>
      </c>
      <c r="C91" s="919">
        <v>454.310047</v>
      </c>
      <c r="D91" s="920"/>
      <c r="E91" s="919">
        <v>1068.741812</v>
      </c>
      <c r="F91" s="919">
        <v>200.98079000000001</v>
      </c>
      <c r="G91" s="920"/>
      <c r="H91" s="919">
        <v>410.44109500000002</v>
      </c>
      <c r="I91" s="955">
        <v>3480.5274920000002</v>
      </c>
      <c r="J91" s="919" t="s">
        <v>921</v>
      </c>
      <c r="K91" s="919"/>
      <c r="L91" s="919"/>
      <c r="M91" s="919"/>
      <c r="N91" s="955" t="s">
        <v>921</v>
      </c>
      <c r="O91" s="956">
        <v>3548.6049309999999</v>
      </c>
      <c r="P91" s="919">
        <v>1845.7112609999999</v>
      </c>
      <c r="Q91" s="919">
        <v>2254.5406469999998</v>
      </c>
      <c r="R91" s="919">
        <v>1144.8572690000001</v>
      </c>
      <c r="S91" s="919">
        <v>98.807147999999998</v>
      </c>
      <c r="T91" s="956">
        <v>3498.2050640000002</v>
      </c>
    </row>
    <row r="92" spans="1:20" x14ac:dyDescent="0.25">
      <c r="A92" s="954" t="s">
        <v>1000</v>
      </c>
      <c r="B92" s="919">
        <v>311.041359</v>
      </c>
      <c r="C92" s="919">
        <v>276.64777600000002</v>
      </c>
      <c r="D92" s="920"/>
      <c r="E92" s="919">
        <v>864.86082899999997</v>
      </c>
      <c r="F92" s="919">
        <v>178.74290099999999</v>
      </c>
      <c r="G92" s="920"/>
      <c r="H92" s="919">
        <v>619.52572299999997</v>
      </c>
      <c r="I92" s="955">
        <v>2250.8185880000001</v>
      </c>
      <c r="J92" s="919"/>
      <c r="K92" s="919"/>
      <c r="L92" s="919"/>
      <c r="M92" s="919"/>
      <c r="N92" s="955"/>
      <c r="O92" s="956">
        <v>2250.8185880000001</v>
      </c>
      <c r="P92" s="919">
        <v>1200.342652</v>
      </c>
      <c r="Q92" s="919">
        <v>1551.2348689999999</v>
      </c>
      <c r="R92" s="919" t="s">
        <v>921</v>
      </c>
      <c r="S92" s="919">
        <v>18.147970000000001</v>
      </c>
      <c r="T92" s="956">
        <v>1650.951145</v>
      </c>
    </row>
    <row r="93" spans="1:20" s="948" customFormat="1" x14ac:dyDescent="0.25">
      <c r="A93" s="957" t="s">
        <v>116</v>
      </c>
      <c r="B93" s="941">
        <v>3555.424336</v>
      </c>
      <c r="C93" s="941">
        <v>1177.6493</v>
      </c>
      <c r="D93" s="942" t="s">
        <v>921</v>
      </c>
      <c r="E93" s="941">
        <v>2648.6286249999998</v>
      </c>
      <c r="F93" s="941">
        <v>496.39385199999998</v>
      </c>
      <c r="G93" s="942" t="s">
        <v>921</v>
      </c>
      <c r="H93" s="941">
        <v>2276.4885869999998</v>
      </c>
      <c r="I93" s="958">
        <v>10154.584699999999</v>
      </c>
      <c r="J93" s="941" t="s">
        <v>921</v>
      </c>
      <c r="K93" s="941"/>
      <c r="L93" s="941"/>
      <c r="M93" s="941"/>
      <c r="N93" s="958" t="s">
        <v>921</v>
      </c>
      <c r="O93" s="941">
        <v>10222.662139</v>
      </c>
      <c r="P93" s="941">
        <v>5598.4860749999998</v>
      </c>
      <c r="Q93" s="941">
        <v>7662.458971</v>
      </c>
      <c r="R93" s="941">
        <v>1311.9598209999999</v>
      </c>
      <c r="S93" s="941">
        <v>476.959902</v>
      </c>
      <c r="T93" s="941">
        <v>9451.3786940000009</v>
      </c>
    </row>
    <row r="94" spans="1:20" s="948" customFormat="1" x14ac:dyDescent="0.25">
      <c r="A94" s="957" t="s">
        <v>137</v>
      </c>
      <c r="B94" s="941">
        <v>49.324494000000001</v>
      </c>
      <c r="C94" s="941" t="s">
        <v>921</v>
      </c>
      <c r="D94" s="942"/>
      <c r="E94" s="941">
        <v>86.755947000000006</v>
      </c>
      <c r="F94" s="941">
        <v>108.551627</v>
      </c>
      <c r="G94" s="942"/>
      <c r="H94" s="941">
        <v>13.831994999999999</v>
      </c>
      <c r="I94" s="959">
        <v>272.69166100000001</v>
      </c>
      <c r="J94" s="941"/>
      <c r="K94" s="941"/>
      <c r="L94" s="941"/>
      <c r="M94" s="941"/>
      <c r="N94" s="959"/>
      <c r="O94" s="941">
        <v>272.69166100000001</v>
      </c>
      <c r="P94" s="941">
        <v>154.07580400000001</v>
      </c>
      <c r="Q94" s="941">
        <v>84.295272999999995</v>
      </c>
      <c r="R94" s="941" t="s">
        <v>921</v>
      </c>
      <c r="S94" s="941">
        <v>108.551627</v>
      </c>
      <c r="T94" s="941">
        <v>252.790314</v>
      </c>
    </row>
    <row r="95" spans="1:20" s="948" customFormat="1" x14ac:dyDescent="0.25">
      <c r="A95" s="960" t="s">
        <v>996</v>
      </c>
      <c r="B95" s="930">
        <v>3604.74883</v>
      </c>
      <c r="C95" s="930">
        <v>1191.876898</v>
      </c>
      <c r="D95" s="931" t="s">
        <v>921</v>
      </c>
      <c r="E95" s="930">
        <v>2735.3845719999999</v>
      </c>
      <c r="F95" s="930">
        <v>604.94547899999998</v>
      </c>
      <c r="G95" s="931" t="s">
        <v>921</v>
      </c>
      <c r="H95" s="930">
        <v>2290.3205819999998</v>
      </c>
      <c r="I95" s="961">
        <v>10427.276361</v>
      </c>
      <c r="J95" s="930" t="s">
        <v>921</v>
      </c>
      <c r="K95" s="930"/>
      <c r="L95" s="930"/>
      <c r="M95" s="930"/>
      <c r="N95" s="961" t="s">
        <v>921</v>
      </c>
      <c r="O95" s="930">
        <v>10495.353800000001</v>
      </c>
      <c r="P95" s="930">
        <v>5752.5618789999999</v>
      </c>
      <c r="Q95" s="930">
        <v>7746.7542439999997</v>
      </c>
      <c r="R95" s="930">
        <v>1371.903235</v>
      </c>
      <c r="S95" s="930">
        <v>585.511529</v>
      </c>
      <c r="T95" s="930">
        <v>9704.1690080000008</v>
      </c>
    </row>
    <row r="98" spans="1:20" x14ac:dyDescent="0.25">
      <c r="B98" s="950"/>
    </row>
    <row r="99" spans="1:20" ht="18.75" x14ac:dyDescent="0.25">
      <c r="A99" s="1056" t="s">
        <v>1001</v>
      </c>
      <c r="B99" s="1057"/>
      <c r="C99" s="1057"/>
      <c r="D99" s="1057"/>
      <c r="E99" s="1057"/>
      <c r="F99" s="1057"/>
      <c r="G99" s="1057"/>
      <c r="H99" s="1057"/>
      <c r="I99" s="1057"/>
      <c r="J99" s="1057"/>
      <c r="K99" s="1057"/>
      <c r="L99" s="1057"/>
      <c r="M99" s="1057"/>
      <c r="N99" s="1057"/>
      <c r="O99" s="1057"/>
      <c r="P99" s="1057"/>
      <c r="Q99" s="1057"/>
      <c r="R99" s="1057"/>
      <c r="S99" s="1057"/>
      <c r="T99" s="1058"/>
    </row>
    <row r="100" spans="1:20" s="909" customFormat="1" x14ac:dyDescent="0.25">
      <c r="A100" s="1059" t="s">
        <v>493</v>
      </c>
      <c r="B100" s="1061" t="s">
        <v>906</v>
      </c>
      <c r="C100" s="1062"/>
      <c r="D100" s="1062"/>
      <c r="E100" s="1062"/>
      <c r="F100" s="1062"/>
      <c r="G100" s="1062"/>
      <c r="H100" s="1062"/>
      <c r="I100" s="1063"/>
      <c r="J100" s="1064" t="s">
        <v>907</v>
      </c>
      <c r="K100" s="1065"/>
      <c r="L100" s="1065"/>
      <c r="M100" s="1065"/>
      <c r="N100" s="1066"/>
      <c r="O100" s="1067" t="s">
        <v>908</v>
      </c>
      <c r="P100" s="1068"/>
      <c r="Q100" s="1068"/>
      <c r="R100" s="1068"/>
      <c r="S100" s="1068"/>
      <c r="T100" s="1069"/>
    </row>
    <row r="101" spans="1:20" ht="60" x14ac:dyDescent="0.25">
      <c r="A101" s="1060"/>
      <c r="B101" s="951" t="s">
        <v>909</v>
      </c>
      <c r="C101" s="951" t="s">
        <v>882</v>
      </c>
      <c r="D101" s="951" t="s">
        <v>910</v>
      </c>
      <c r="E101" s="951" t="s">
        <v>883</v>
      </c>
      <c r="F101" s="951" t="s">
        <v>911</v>
      </c>
      <c r="G101" s="951" t="s">
        <v>912</v>
      </c>
      <c r="H101" s="951" t="s">
        <v>913</v>
      </c>
      <c r="I101" s="951" t="s">
        <v>914</v>
      </c>
      <c r="J101" s="952" t="s">
        <v>640</v>
      </c>
      <c r="K101" s="952" t="s">
        <v>882</v>
      </c>
      <c r="L101" s="952" t="s">
        <v>885</v>
      </c>
      <c r="M101" s="952" t="s">
        <v>913</v>
      </c>
      <c r="N101" s="952" t="s">
        <v>915</v>
      </c>
      <c r="O101" s="953" t="s">
        <v>139</v>
      </c>
      <c r="P101" s="953" t="s">
        <v>916</v>
      </c>
      <c r="Q101" s="953" t="s">
        <v>917</v>
      </c>
      <c r="R101" s="953" t="s">
        <v>918</v>
      </c>
      <c r="S101" s="953" t="s">
        <v>919</v>
      </c>
      <c r="T101" s="953" t="s">
        <v>920</v>
      </c>
    </row>
    <row r="102" spans="1:20" x14ac:dyDescent="0.25">
      <c r="A102" s="957" t="s">
        <v>110</v>
      </c>
      <c r="B102" s="924">
        <v>1400.3678199999999</v>
      </c>
      <c r="C102" s="924">
        <v>3283.714356</v>
      </c>
      <c r="D102" s="925" t="s">
        <v>921</v>
      </c>
      <c r="E102" s="924">
        <v>1658.956044</v>
      </c>
      <c r="F102" s="924">
        <v>2533.4952499999999</v>
      </c>
      <c r="G102" s="925" t="s">
        <v>921</v>
      </c>
      <c r="H102" s="924">
        <v>1253.2210500000001</v>
      </c>
      <c r="I102" s="941">
        <v>10129.75452</v>
      </c>
      <c r="J102" s="924" t="s">
        <v>921</v>
      </c>
      <c r="K102" s="924"/>
      <c r="L102" s="924">
        <v>162.50384399999999</v>
      </c>
      <c r="M102" s="924" t="s">
        <v>921</v>
      </c>
      <c r="N102" s="941">
        <v>1536.434763</v>
      </c>
      <c r="O102" s="941">
        <v>11666.189283</v>
      </c>
      <c r="P102" s="924">
        <v>9246.6205339999997</v>
      </c>
      <c r="Q102" s="924">
        <v>1587.6239310000001</v>
      </c>
      <c r="R102" s="924">
        <v>7562.8426330000002</v>
      </c>
      <c r="S102" s="924">
        <v>2485.6290869999998</v>
      </c>
      <c r="T102" s="924">
        <v>11636.095651</v>
      </c>
    </row>
    <row r="103" spans="1:20" x14ac:dyDescent="0.25">
      <c r="A103" s="962" t="s">
        <v>922</v>
      </c>
      <c r="B103" s="919">
        <v>1306.6925920000001</v>
      </c>
      <c r="C103" s="919">
        <v>3274.8338939999999</v>
      </c>
      <c r="D103" s="920" t="s">
        <v>921</v>
      </c>
      <c r="E103" s="919">
        <v>1658.956044</v>
      </c>
      <c r="F103" s="919">
        <v>2533.4952499999999</v>
      </c>
      <c r="G103" s="920" t="s">
        <v>921</v>
      </c>
      <c r="H103" s="919">
        <v>1253.2210500000001</v>
      </c>
      <c r="I103" s="963">
        <v>10027.198829999999</v>
      </c>
      <c r="J103" s="919" t="s">
        <v>921</v>
      </c>
      <c r="K103" s="919"/>
      <c r="L103" s="919">
        <v>162.50384399999999</v>
      </c>
      <c r="M103" s="919" t="s">
        <v>921</v>
      </c>
      <c r="N103" s="963">
        <v>1536.434763</v>
      </c>
      <c r="O103" s="964">
        <v>11563.633593</v>
      </c>
      <c r="P103" s="919">
        <v>9152.9453059999996</v>
      </c>
      <c r="Q103" s="919">
        <v>1587.6239310000001</v>
      </c>
      <c r="R103" s="919">
        <v>7460.2869430000001</v>
      </c>
      <c r="S103" s="919">
        <v>2485.6290869999998</v>
      </c>
      <c r="T103" s="965">
        <v>11533.539961</v>
      </c>
    </row>
    <row r="104" spans="1:20" x14ac:dyDescent="0.25">
      <c r="A104" s="962" t="s">
        <v>923</v>
      </c>
      <c r="B104" s="919"/>
      <c r="C104" s="919"/>
      <c r="D104" s="920"/>
      <c r="E104" s="919"/>
      <c r="F104" s="919"/>
      <c r="G104" s="920"/>
      <c r="H104" s="919"/>
      <c r="I104" s="963"/>
      <c r="J104" s="919"/>
      <c r="K104" s="919"/>
      <c r="L104" s="919"/>
      <c r="M104" s="919"/>
      <c r="N104" s="963"/>
      <c r="O104" s="964"/>
      <c r="P104" s="919"/>
      <c r="Q104" s="919"/>
      <c r="R104" s="919"/>
      <c r="S104" s="919"/>
      <c r="T104" s="965"/>
    </row>
    <row r="105" spans="1:20" x14ac:dyDescent="0.25">
      <c r="A105" s="962" t="s">
        <v>924</v>
      </c>
      <c r="B105" s="919"/>
      <c r="C105" s="919"/>
      <c r="D105" s="920"/>
      <c r="E105" s="919"/>
      <c r="F105" s="919"/>
      <c r="G105" s="920"/>
      <c r="H105" s="919"/>
      <c r="I105" s="963"/>
      <c r="J105" s="919"/>
      <c r="K105" s="919"/>
      <c r="L105" s="919"/>
      <c r="M105" s="919"/>
      <c r="N105" s="963"/>
      <c r="O105" s="964"/>
      <c r="P105" s="919"/>
      <c r="Q105" s="919"/>
      <c r="R105" s="919"/>
      <c r="S105" s="919"/>
      <c r="T105" s="965"/>
    </row>
    <row r="106" spans="1:20" x14ac:dyDescent="0.25">
      <c r="A106" s="962" t="s">
        <v>925</v>
      </c>
      <c r="B106" s="919"/>
      <c r="C106" s="919"/>
      <c r="D106" s="920"/>
      <c r="E106" s="919"/>
      <c r="F106" s="919"/>
      <c r="G106" s="920"/>
      <c r="H106" s="919"/>
      <c r="I106" s="963"/>
      <c r="J106" s="919"/>
      <c r="K106" s="919"/>
      <c r="L106" s="919"/>
      <c r="M106" s="919"/>
      <c r="N106" s="963"/>
      <c r="O106" s="964"/>
      <c r="P106" s="919"/>
      <c r="Q106" s="919"/>
      <c r="R106" s="919"/>
      <c r="S106" s="919"/>
      <c r="T106" s="965"/>
    </row>
    <row r="107" spans="1:20" x14ac:dyDescent="0.25">
      <c r="A107" s="962" t="s">
        <v>926</v>
      </c>
      <c r="B107" s="919"/>
      <c r="C107" s="919"/>
      <c r="D107" s="920"/>
      <c r="E107" s="919"/>
      <c r="F107" s="919"/>
      <c r="G107" s="920"/>
      <c r="H107" s="919"/>
      <c r="I107" s="963"/>
      <c r="J107" s="919"/>
      <c r="K107" s="919"/>
      <c r="L107" s="919"/>
      <c r="M107" s="919"/>
      <c r="N107" s="963"/>
      <c r="O107" s="964"/>
      <c r="P107" s="919"/>
      <c r="Q107" s="919"/>
      <c r="R107" s="919"/>
      <c r="S107" s="919"/>
      <c r="T107" s="965"/>
    </row>
    <row r="108" spans="1:20" x14ac:dyDescent="0.25">
      <c r="A108" s="962" t="s">
        <v>927</v>
      </c>
      <c r="B108" s="919" t="s">
        <v>921</v>
      </c>
      <c r="C108" s="919" t="s">
        <v>921</v>
      </c>
      <c r="D108" s="920"/>
      <c r="E108" s="919"/>
      <c r="F108" s="919"/>
      <c r="G108" s="920"/>
      <c r="H108" s="919"/>
      <c r="I108" s="963" t="s">
        <v>921</v>
      </c>
      <c r="J108" s="919"/>
      <c r="K108" s="919"/>
      <c r="L108" s="919"/>
      <c r="M108" s="919"/>
      <c r="N108" s="963"/>
      <c r="O108" s="964" t="s">
        <v>921</v>
      </c>
      <c r="P108" s="919" t="s">
        <v>921</v>
      </c>
      <c r="Q108" s="919"/>
      <c r="R108" s="919" t="s">
        <v>921</v>
      </c>
      <c r="S108" s="919"/>
      <c r="T108" s="965" t="s">
        <v>921</v>
      </c>
    </row>
    <row r="109" spans="1:20" x14ac:dyDescent="0.25">
      <c r="A109" s="957" t="s">
        <v>928</v>
      </c>
      <c r="B109" s="924">
        <v>2063.5665800000002</v>
      </c>
      <c r="C109" s="924">
        <v>2445.6750649999999</v>
      </c>
      <c r="D109" s="925"/>
      <c r="E109" s="924">
        <v>2048.0698299999999</v>
      </c>
      <c r="F109" s="924">
        <v>3485.2537900000002</v>
      </c>
      <c r="G109" s="925"/>
      <c r="H109" s="924">
        <v>442.83287300000001</v>
      </c>
      <c r="I109" s="941">
        <v>10485.398138</v>
      </c>
      <c r="J109" s="924">
        <v>1970.8613339999999</v>
      </c>
      <c r="K109" s="924">
        <v>1807.525155</v>
      </c>
      <c r="L109" s="924">
        <v>4542.9610489999995</v>
      </c>
      <c r="M109" s="924" t="s">
        <v>921</v>
      </c>
      <c r="N109" s="941">
        <v>8325.2519969999994</v>
      </c>
      <c r="O109" s="941">
        <v>18810.650135</v>
      </c>
      <c r="P109" s="924">
        <v>15323.418729999999</v>
      </c>
      <c r="Q109" s="924">
        <v>3081.8602299999998</v>
      </c>
      <c r="R109" s="924">
        <v>2528.9224170000002</v>
      </c>
      <c r="S109" s="924">
        <v>6995.4895310000002</v>
      </c>
      <c r="T109" s="924">
        <v>12606.272177999999</v>
      </c>
    </row>
    <row r="110" spans="1:20" x14ac:dyDescent="0.25">
      <c r="A110" s="962" t="s">
        <v>929</v>
      </c>
      <c r="B110" s="919">
        <v>351.77320500000002</v>
      </c>
      <c r="C110" s="919">
        <v>578.53034100000002</v>
      </c>
      <c r="D110" s="920"/>
      <c r="E110" s="919">
        <v>1540.232037</v>
      </c>
      <c r="F110" s="919">
        <v>1289.650934</v>
      </c>
      <c r="G110" s="920"/>
      <c r="H110" s="919">
        <v>145.95885699999999</v>
      </c>
      <c r="I110" s="963">
        <v>3906.1453740000002</v>
      </c>
      <c r="J110" s="919">
        <v>118.53236699999999</v>
      </c>
      <c r="K110" s="919" t="s">
        <v>921</v>
      </c>
      <c r="L110" s="919"/>
      <c r="M110" s="919"/>
      <c r="N110" s="963">
        <v>465.866806</v>
      </c>
      <c r="O110" s="964">
        <v>4372.0121799999997</v>
      </c>
      <c r="P110" s="919">
        <v>4099.89833</v>
      </c>
      <c r="Q110" s="919">
        <v>152.55563900000001</v>
      </c>
      <c r="R110" s="919">
        <v>708.92300299999999</v>
      </c>
      <c r="S110" s="919">
        <v>2903.1627050000002</v>
      </c>
      <c r="T110" s="965">
        <v>3764.6413470000002</v>
      </c>
    </row>
    <row r="111" spans="1:20" x14ac:dyDescent="0.25">
      <c r="A111" s="962" t="s">
        <v>930</v>
      </c>
      <c r="B111" s="919" t="s">
        <v>921</v>
      </c>
      <c r="C111" s="919" t="s">
        <v>921</v>
      </c>
      <c r="D111" s="920"/>
      <c r="E111" s="919" t="s">
        <v>921</v>
      </c>
      <c r="F111" s="919">
        <v>32.460413000000003</v>
      </c>
      <c r="G111" s="920"/>
      <c r="H111" s="919">
        <v>48.884929999999997</v>
      </c>
      <c r="I111" s="963">
        <v>225.04020199999999</v>
      </c>
      <c r="J111" s="919" t="s">
        <v>921</v>
      </c>
      <c r="K111" s="919" t="s">
        <v>921</v>
      </c>
      <c r="L111" s="919">
        <v>1577.1850119999999</v>
      </c>
      <c r="M111" s="919"/>
      <c r="N111" s="963">
        <v>2375.3451490000002</v>
      </c>
      <c r="O111" s="964">
        <v>2600.3853509999999</v>
      </c>
      <c r="P111" s="919">
        <v>2490.415348</v>
      </c>
      <c r="Q111" s="919">
        <v>153.96254300000001</v>
      </c>
      <c r="R111" s="919">
        <v>145.951134</v>
      </c>
      <c r="S111" s="919" t="s">
        <v>921</v>
      </c>
      <c r="T111" s="965">
        <v>1098.0738140000001</v>
      </c>
    </row>
    <row r="112" spans="1:20" x14ac:dyDescent="0.25">
      <c r="A112" s="962" t="s">
        <v>931</v>
      </c>
      <c r="B112" s="919"/>
      <c r="C112" s="919" t="s">
        <v>921</v>
      </c>
      <c r="D112" s="920"/>
      <c r="E112" s="919" t="s">
        <v>921</v>
      </c>
      <c r="F112" s="919"/>
      <c r="G112" s="920"/>
      <c r="H112" s="919"/>
      <c r="I112" s="963" t="s">
        <v>921</v>
      </c>
      <c r="J112" s="919"/>
      <c r="K112" s="919"/>
      <c r="L112" s="919"/>
      <c r="M112" s="919"/>
      <c r="N112" s="963"/>
      <c r="O112" s="964" t="s">
        <v>921</v>
      </c>
      <c r="P112" s="919" t="s">
        <v>921</v>
      </c>
      <c r="Q112" s="919"/>
      <c r="R112" s="919" t="s">
        <v>921</v>
      </c>
      <c r="S112" s="919"/>
      <c r="T112" s="965" t="s">
        <v>921</v>
      </c>
    </row>
    <row r="113" spans="1:20" x14ac:dyDescent="0.25">
      <c r="A113" s="962" t="s">
        <v>932</v>
      </c>
      <c r="B113" s="919"/>
      <c r="C113" s="919"/>
      <c r="D113" s="920"/>
      <c r="E113" s="919"/>
      <c r="F113" s="919"/>
      <c r="G113" s="920"/>
      <c r="H113" s="919"/>
      <c r="I113" s="963"/>
      <c r="J113" s="919"/>
      <c r="K113" s="919"/>
      <c r="L113" s="919"/>
      <c r="M113" s="919"/>
      <c r="N113" s="963"/>
      <c r="O113" s="964"/>
      <c r="P113" s="919"/>
      <c r="Q113" s="919"/>
      <c r="R113" s="919"/>
      <c r="S113" s="919"/>
      <c r="T113" s="965"/>
    </row>
    <row r="114" spans="1:20" x14ac:dyDescent="0.25">
      <c r="A114" s="962" t="s">
        <v>933</v>
      </c>
      <c r="B114" s="919"/>
      <c r="C114" s="919"/>
      <c r="D114" s="920"/>
      <c r="E114" s="919"/>
      <c r="F114" s="919"/>
      <c r="G114" s="920"/>
      <c r="H114" s="919"/>
      <c r="I114" s="963"/>
      <c r="J114" s="919"/>
      <c r="K114" s="919"/>
      <c r="L114" s="919"/>
      <c r="M114" s="919"/>
      <c r="N114" s="963"/>
      <c r="O114" s="964"/>
      <c r="P114" s="919"/>
      <c r="Q114" s="919"/>
      <c r="R114" s="919"/>
      <c r="S114" s="919"/>
      <c r="T114" s="965"/>
    </row>
    <row r="115" spans="1:20" x14ac:dyDescent="0.25">
      <c r="A115" s="962" t="s">
        <v>934</v>
      </c>
      <c r="B115" s="919">
        <v>563.176287</v>
      </c>
      <c r="C115" s="919">
        <v>1149.86358</v>
      </c>
      <c r="D115" s="920"/>
      <c r="E115" s="919">
        <v>187.70188200000001</v>
      </c>
      <c r="F115" s="919">
        <v>874.14220499999999</v>
      </c>
      <c r="G115" s="920"/>
      <c r="H115" s="919">
        <v>247.98908599999999</v>
      </c>
      <c r="I115" s="963">
        <v>3022.8730399999999</v>
      </c>
      <c r="J115" s="919" t="s">
        <v>921</v>
      </c>
      <c r="K115" s="919"/>
      <c r="L115" s="919">
        <v>700.52215000000001</v>
      </c>
      <c r="M115" s="919"/>
      <c r="N115" s="963">
        <v>891.58380199999999</v>
      </c>
      <c r="O115" s="964">
        <v>3914.4568420000001</v>
      </c>
      <c r="P115" s="919">
        <v>3638.9092599999999</v>
      </c>
      <c r="Q115" s="919">
        <v>206.25793899999999</v>
      </c>
      <c r="R115" s="919">
        <v>937.02436999999998</v>
      </c>
      <c r="S115" s="919">
        <v>1707.0444219999999</v>
      </c>
      <c r="T115" s="965">
        <v>2850.3267310000001</v>
      </c>
    </row>
    <row r="116" spans="1:20" x14ac:dyDescent="0.25">
      <c r="A116" s="962" t="s">
        <v>935</v>
      </c>
      <c r="B116" s="919">
        <v>914.82878200000005</v>
      </c>
      <c r="C116" s="919">
        <v>645.51637300000004</v>
      </c>
      <c r="D116" s="920"/>
      <c r="E116" s="919">
        <v>227.88302999999999</v>
      </c>
      <c r="F116" s="919">
        <v>1289.0002380000001</v>
      </c>
      <c r="G116" s="920"/>
      <c r="H116" s="919"/>
      <c r="I116" s="963">
        <v>3077.228423</v>
      </c>
      <c r="J116" s="919" t="s">
        <v>921</v>
      </c>
      <c r="K116" s="919" t="s">
        <v>921</v>
      </c>
      <c r="L116" s="919">
        <v>2265.2538869999998</v>
      </c>
      <c r="M116" s="919" t="s">
        <v>921</v>
      </c>
      <c r="N116" s="963">
        <v>4592.4562400000004</v>
      </c>
      <c r="O116" s="964">
        <v>7669.684663</v>
      </c>
      <c r="P116" s="919">
        <v>4891.9947810000003</v>
      </c>
      <c r="Q116" s="919">
        <v>2523.0850679999999</v>
      </c>
      <c r="R116" s="919">
        <v>528.91221199999995</v>
      </c>
      <c r="S116" s="919">
        <v>1587.122267</v>
      </c>
      <c r="T116" s="965">
        <v>4639.1195470000002</v>
      </c>
    </row>
    <row r="117" spans="1:20" x14ac:dyDescent="0.25">
      <c r="A117" s="962" t="s">
        <v>936</v>
      </c>
      <c r="B117" s="919" t="s">
        <v>921</v>
      </c>
      <c r="C117" s="919"/>
      <c r="D117" s="920"/>
      <c r="E117" s="919" t="s">
        <v>921</v>
      </c>
      <c r="F117" s="919"/>
      <c r="G117" s="920"/>
      <c r="H117" s="919"/>
      <c r="I117" s="963" t="s">
        <v>921</v>
      </c>
      <c r="J117" s="919"/>
      <c r="K117" s="919"/>
      <c r="L117" s="919"/>
      <c r="M117" s="919"/>
      <c r="N117" s="963"/>
      <c r="O117" s="964" t="s">
        <v>921</v>
      </c>
      <c r="P117" s="919" t="s">
        <v>921</v>
      </c>
      <c r="Q117" s="919" t="s">
        <v>921</v>
      </c>
      <c r="R117" s="919" t="s">
        <v>921</v>
      </c>
      <c r="S117" s="919"/>
      <c r="T117" s="965" t="s">
        <v>921</v>
      </c>
    </row>
    <row r="118" spans="1:20" x14ac:dyDescent="0.25">
      <c r="A118" s="962" t="s">
        <v>937</v>
      </c>
      <c r="B118" s="919"/>
      <c r="C118" s="919"/>
      <c r="D118" s="920"/>
      <c r="E118" s="919" t="s">
        <v>921</v>
      </c>
      <c r="F118" s="919"/>
      <c r="G118" s="920"/>
      <c r="H118" s="919"/>
      <c r="I118" s="963" t="s">
        <v>921</v>
      </c>
      <c r="J118" s="919"/>
      <c r="K118" s="919"/>
      <c r="L118" s="919"/>
      <c r="M118" s="919"/>
      <c r="N118" s="963"/>
      <c r="O118" s="964" t="s">
        <v>921</v>
      </c>
      <c r="P118" s="919"/>
      <c r="Q118" s="919" t="s">
        <v>921</v>
      </c>
      <c r="R118" s="919"/>
      <c r="S118" s="919"/>
      <c r="T118" s="965" t="s">
        <v>921</v>
      </c>
    </row>
    <row r="119" spans="1:20" x14ac:dyDescent="0.25">
      <c r="A119" s="962" t="s">
        <v>938</v>
      </c>
      <c r="B119" s="919"/>
      <c r="C119" s="919"/>
      <c r="D119" s="920"/>
      <c r="E119" s="919"/>
      <c r="F119" s="919"/>
      <c r="G119" s="920"/>
      <c r="H119" s="919"/>
      <c r="I119" s="963"/>
      <c r="J119" s="919"/>
      <c r="K119" s="919"/>
      <c r="L119" s="919"/>
      <c r="M119" s="919"/>
      <c r="N119" s="963"/>
      <c r="O119" s="964"/>
      <c r="P119" s="919"/>
      <c r="Q119" s="919"/>
      <c r="R119" s="919"/>
      <c r="S119" s="919"/>
      <c r="T119" s="965"/>
    </row>
    <row r="120" spans="1:20" x14ac:dyDescent="0.25">
      <c r="A120" s="962" t="s">
        <v>939</v>
      </c>
      <c r="B120" s="919" t="s">
        <v>921</v>
      </c>
      <c r="C120" s="919"/>
      <c r="D120" s="920"/>
      <c r="E120" s="919"/>
      <c r="F120" s="919"/>
      <c r="G120" s="920"/>
      <c r="H120" s="919"/>
      <c r="I120" s="963" t="s">
        <v>921</v>
      </c>
      <c r="J120" s="919"/>
      <c r="K120" s="919"/>
      <c r="L120" s="919"/>
      <c r="M120" s="919"/>
      <c r="N120" s="963"/>
      <c r="O120" s="964" t="s">
        <v>921</v>
      </c>
      <c r="P120" s="919" t="s">
        <v>921</v>
      </c>
      <c r="Q120" s="919" t="s">
        <v>921</v>
      </c>
      <c r="R120" s="919" t="s">
        <v>921</v>
      </c>
      <c r="S120" s="919"/>
      <c r="T120" s="965" t="s">
        <v>921</v>
      </c>
    </row>
    <row r="121" spans="1:20" x14ac:dyDescent="0.25">
      <c r="A121" s="962" t="s">
        <v>940</v>
      </c>
      <c r="B121" s="919"/>
      <c r="C121" s="919"/>
      <c r="D121" s="920"/>
      <c r="E121" s="919"/>
      <c r="F121" s="919"/>
      <c r="G121" s="920"/>
      <c r="H121" s="919"/>
      <c r="I121" s="963"/>
      <c r="J121" s="919"/>
      <c r="K121" s="919"/>
      <c r="L121" s="919"/>
      <c r="M121" s="919"/>
      <c r="N121" s="963"/>
      <c r="O121" s="964"/>
      <c r="P121" s="919"/>
      <c r="Q121" s="919"/>
      <c r="R121" s="919"/>
      <c r="S121" s="919"/>
      <c r="T121" s="965"/>
    </row>
    <row r="122" spans="1:20" x14ac:dyDescent="0.25">
      <c r="A122" s="957" t="s">
        <v>229</v>
      </c>
      <c r="B122" s="924">
        <v>159.585658</v>
      </c>
      <c r="C122" s="924">
        <v>1038.677598</v>
      </c>
      <c r="D122" s="925"/>
      <c r="E122" s="924">
        <v>65.746212</v>
      </c>
      <c r="F122" s="924">
        <v>116.45002700000001</v>
      </c>
      <c r="G122" s="925"/>
      <c r="H122" s="924">
        <v>358.47501</v>
      </c>
      <c r="I122" s="941">
        <v>1738.9345049999999</v>
      </c>
      <c r="J122" s="924">
        <v>2687.4000019999999</v>
      </c>
      <c r="K122" s="924" t="s">
        <v>921</v>
      </c>
      <c r="L122" s="924">
        <v>1921.5011810000001</v>
      </c>
      <c r="M122" s="924"/>
      <c r="N122" s="941">
        <v>5280.7373180000004</v>
      </c>
      <c r="O122" s="941">
        <v>7019.6718229999997</v>
      </c>
      <c r="P122" s="924">
        <v>6888.96976</v>
      </c>
      <c r="Q122" s="924">
        <v>221.452877</v>
      </c>
      <c r="R122" s="924">
        <v>544.22565099999997</v>
      </c>
      <c r="S122" s="924">
        <v>783.73145599999998</v>
      </c>
      <c r="T122" s="924">
        <v>1549.4099839999999</v>
      </c>
    </row>
    <row r="123" spans="1:20" x14ac:dyDescent="0.25">
      <c r="A123" s="962" t="s">
        <v>941</v>
      </c>
      <c r="B123" s="919">
        <v>93.318815000000001</v>
      </c>
      <c r="C123" s="919">
        <v>1016.463799</v>
      </c>
      <c r="D123" s="920"/>
      <c r="E123" s="919">
        <v>65.745627999999996</v>
      </c>
      <c r="F123" s="919">
        <v>116.45002700000001</v>
      </c>
      <c r="G123" s="920"/>
      <c r="H123" s="919">
        <v>330.06137000000001</v>
      </c>
      <c r="I123" s="963">
        <v>1622.0396390000001</v>
      </c>
      <c r="J123" s="919">
        <v>2687.4000019999999</v>
      </c>
      <c r="K123" s="919" t="s">
        <v>921</v>
      </c>
      <c r="L123" s="919">
        <v>1921.5011810000001</v>
      </c>
      <c r="M123" s="919"/>
      <c r="N123" s="963">
        <v>5280.7373180000004</v>
      </c>
      <c r="O123" s="964">
        <v>6902.776957</v>
      </c>
      <c r="P123" s="919">
        <v>6788.1554159999996</v>
      </c>
      <c r="Q123" s="919">
        <v>155.18545</v>
      </c>
      <c r="R123" s="919">
        <v>493.59821199999999</v>
      </c>
      <c r="S123" s="919">
        <v>783.73145599999998</v>
      </c>
      <c r="T123" s="965">
        <v>1432.515118</v>
      </c>
    </row>
    <row r="124" spans="1:20" x14ac:dyDescent="0.25">
      <c r="A124" s="962" t="s">
        <v>942</v>
      </c>
      <c r="B124" s="919" t="s">
        <v>921</v>
      </c>
      <c r="C124" s="919"/>
      <c r="D124" s="920"/>
      <c r="E124" s="919"/>
      <c r="F124" s="919"/>
      <c r="G124" s="920"/>
      <c r="H124" s="919"/>
      <c r="I124" s="963" t="s">
        <v>921</v>
      </c>
      <c r="J124" s="919"/>
      <c r="K124" s="919"/>
      <c r="L124" s="919"/>
      <c r="M124" s="919"/>
      <c r="N124" s="963"/>
      <c r="O124" s="964" t="s">
        <v>921</v>
      </c>
      <c r="P124" s="919" t="s">
        <v>921</v>
      </c>
      <c r="Q124" s="919" t="s">
        <v>921</v>
      </c>
      <c r="R124" s="919"/>
      <c r="S124" s="919"/>
      <c r="T124" s="965" t="s">
        <v>921</v>
      </c>
    </row>
    <row r="125" spans="1:20" x14ac:dyDescent="0.25">
      <c r="A125" s="962" t="s">
        <v>943</v>
      </c>
      <c r="B125" s="919"/>
      <c r="C125" s="919"/>
      <c r="D125" s="920"/>
      <c r="E125" s="919"/>
      <c r="F125" s="919"/>
      <c r="G125" s="920"/>
      <c r="H125" s="919"/>
      <c r="I125" s="963"/>
      <c r="J125" s="919"/>
      <c r="K125" s="919"/>
      <c r="L125" s="919"/>
      <c r="M125" s="919"/>
      <c r="N125" s="963"/>
      <c r="O125" s="964"/>
      <c r="P125" s="919"/>
      <c r="Q125" s="919"/>
      <c r="R125" s="919"/>
      <c r="S125" s="919"/>
      <c r="T125" s="965"/>
    </row>
    <row r="126" spans="1:20" x14ac:dyDescent="0.25">
      <c r="A126" s="962" t="s">
        <v>944</v>
      </c>
      <c r="B126" s="919"/>
      <c r="C126" s="919"/>
      <c r="D126" s="920"/>
      <c r="E126" s="919"/>
      <c r="F126" s="919"/>
      <c r="G126" s="920"/>
      <c r="H126" s="919"/>
      <c r="I126" s="963"/>
      <c r="J126" s="919"/>
      <c r="K126" s="919"/>
      <c r="L126" s="919"/>
      <c r="M126" s="919"/>
      <c r="N126" s="963"/>
      <c r="O126" s="964"/>
      <c r="P126" s="919"/>
      <c r="Q126" s="919"/>
      <c r="R126" s="919"/>
      <c r="S126" s="919"/>
      <c r="T126" s="965"/>
    </row>
    <row r="127" spans="1:20" x14ac:dyDescent="0.25">
      <c r="A127" s="962" t="s">
        <v>945</v>
      </c>
      <c r="B127" s="919" t="s">
        <v>921</v>
      </c>
      <c r="C127" s="919" t="s">
        <v>921</v>
      </c>
      <c r="D127" s="920"/>
      <c r="E127" s="919"/>
      <c r="F127" s="919"/>
      <c r="G127" s="920"/>
      <c r="H127" s="919">
        <v>28.413640000000001</v>
      </c>
      <c r="I127" s="963">
        <v>54.960711000000003</v>
      </c>
      <c r="J127" s="919"/>
      <c r="K127" s="919"/>
      <c r="L127" s="919"/>
      <c r="M127" s="919"/>
      <c r="N127" s="963"/>
      <c r="O127" s="964">
        <v>54.960711000000003</v>
      </c>
      <c r="P127" s="919">
        <v>50.627439000000003</v>
      </c>
      <c r="Q127" s="919" t="s">
        <v>921</v>
      </c>
      <c r="R127" s="919">
        <v>50.627439000000003</v>
      </c>
      <c r="S127" s="919"/>
      <c r="T127" s="965">
        <v>54.960711000000003</v>
      </c>
    </row>
    <row r="128" spans="1:20" x14ac:dyDescent="0.25">
      <c r="A128" s="962" t="s">
        <v>946</v>
      </c>
      <c r="B128" s="919"/>
      <c r="C128" s="919"/>
      <c r="D128" s="920"/>
      <c r="E128" s="919"/>
      <c r="F128" s="919"/>
      <c r="G128" s="920"/>
      <c r="H128" s="919"/>
      <c r="I128" s="963"/>
      <c r="J128" s="919"/>
      <c r="K128" s="919"/>
      <c r="L128" s="919"/>
      <c r="M128" s="919"/>
      <c r="N128" s="963"/>
      <c r="O128" s="964"/>
      <c r="P128" s="919"/>
      <c r="Q128" s="919"/>
      <c r="R128" s="919"/>
      <c r="S128" s="919"/>
      <c r="T128" s="965"/>
    </row>
    <row r="129" spans="1:20" x14ac:dyDescent="0.25">
      <c r="A129" s="962" t="s">
        <v>947</v>
      </c>
      <c r="B129" s="919"/>
      <c r="C129" s="919"/>
      <c r="D129" s="920"/>
      <c r="E129" s="919"/>
      <c r="F129" s="919"/>
      <c r="G129" s="920"/>
      <c r="H129" s="919"/>
      <c r="I129" s="963"/>
      <c r="J129" s="919"/>
      <c r="K129" s="919"/>
      <c r="L129" s="919"/>
      <c r="M129" s="919"/>
      <c r="N129" s="963"/>
      <c r="O129" s="964"/>
      <c r="P129" s="919"/>
      <c r="Q129" s="919"/>
      <c r="R129" s="919"/>
      <c r="S129" s="919"/>
      <c r="T129" s="965"/>
    </row>
    <row r="130" spans="1:20" x14ac:dyDescent="0.25">
      <c r="A130" s="962" t="s">
        <v>948</v>
      </c>
      <c r="B130" s="919"/>
      <c r="C130" s="919"/>
      <c r="D130" s="920"/>
      <c r="E130" s="919"/>
      <c r="F130" s="919"/>
      <c r="G130" s="920"/>
      <c r="H130" s="919"/>
      <c r="I130" s="963"/>
      <c r="J130" s="919"/>
      <c r="K130" s="919"/>
      <c r="L130" s="919"/>
      <c r="M130" s="919"/>
      <c r="N130" s="963"/>
      <c r="O130" s="964"/>
      <c r="P130" s="919"/>
      <c r="Q130" s="919"/>
      <c r="R130" s="919"/>
      <c r="S130" s="919"/>
      <c r="T130" s="965"/>
    </row>
    <row r="131" spans="1:20" x14ac:dyDescent="0.25">
      <c r="A131" s="962" t="s">
        <v>949</v>
      </c>
      <c r="B131" s="919"/>
      <c r="C131" s="919"/>
      <c r="D131" s="920"/>
      <c r="E131" s="919"/>
      <c r="F131" s="919"/>
      <c r="G131" s="920"/>
      <c r="H131" s="919"/>
      <c r="I131" s="963"/>
      <c r="J131" s="919"/>
      <c r="K131" s="919"/>
      <c r="L131" s="919"/>
      <c r="M131" s="919"/>
      <c r="N131" s="963"/>
      <c r="O131" s="964"/>
      <c r="P131" s="919"/>
      <c r="Q131" s="919"/>
      <c r="R131" s="919"/>
      <c r="S131" s="919"/>
      <c r="T131" s="965"/>
    </row>
    <row r="132" spans="1:20" x14ac:dyDescent="0.25">
      <c r="A132" s="962" t="s">
        <v>950</v>
      </c>
      <c r="B132" s="919"/>
      <c r="C132" s="919"/>
      <c r="D132" s="920"/>
      <c r="E132" s="919" t="s">
        <v>921</v>
      </c>
      <c r="F132" s="919"/>
      <c r="G132" s="920"/>
      <c r="H132" s="919"/>
      <c r="I132" s="963" t="s">
        <v>921</v>
      </c>
      <c r="J132" s="919"/>
      <c r="K132" s="919"/>
      <c r="L132" s="919"/>
      <c r="M132" s="919"/>
      <c r="N132" s="963"/>
      <c r="O132" s="964" t="s">
        <v>921</v>
      </c>
      <c r="P132" s="919" t="s">
        <v>921</v>
      </c>
      <c r="Q132" s="919" t="s">
        <v>921</v>
      </c>
      <c r="R132" s="919"/>
      <c r="S132" s="919"/>
      <c r="T132" s="965" t="s">
        <v>921</v>
      </c>
    </row>
    <row r="133" spans="1:20" x14ac:dyDescent="0.25">
      <c r="A133" s="962" t="s">
        <v>951</v>
      </c>
      <c r="B133" s="919" t="s">
        <v>921</v>
      </c>
      <c r="C133" s="919"/>
      <c r="D133" s="920"/>
      <c r="E133" s="919"/>
      <c r="F133" s="919"/>
      <c r="G133" s="920"/>
      <c r="H133" s="919"/>
      <c r="I133" s="963" t="s">
        <v>921</v>
      </c>
      <c r="J133" s="919"/>
      <c r="K133" s="919"/>
      <c r="L133" s="919"/>
      <c r="M133" s="919"/>
      <c r="N133" s="963"/>
      <c r="O133" s="964" t="s">
        <v>921</v>
      </c>
      <c r="P133" s="919" t="s">
        <v>921</v>
      </c>
      <c r="Q133" s="919" t="s">
        <v>921</v>
      </c>
      <c r="R133" s="919"/>
      <c r="S133" s="919"/>
      <c r="T133" s="965" t="s">
        <v>921</v>
      </c>
    </row>
    <row r="134" spans="1:20" x14ac:dyDescent="0.25">
      <c r="A134" s="957" t="s">
        <v>115</v>
      </c>
      <c r="B134" s="924">
        <v>2419.775478</v>
      </c>
      <c r="C134" s="924">
        <v>2090.8093480000002</v>
      </c>
      <c r="D134" s="925">
        <v>323.53786300000002</v>
      </c>
      <c r="E134" s="924">
        <v>1665.8249740000001</v>
      </c>
      <c r="F134" s="924">
        <v>142.63164399999999</v>
      </c>
      <c r="G134" s="925"/>
      <c r="H134" s="924">
        <v>308.97310700000003</v>
      </c>
      <c r="I134" s="941">
        <v>6628.0145510000002</v>
      </c>
      <c r="J134" s="924">
        <v>729.60202600000002</v>
      </c>
      <c r="K134" s="924"/>
      <c r="L134" s="924" t="s">
        <v>921</v>
      </c>
      <c r="M134" s="924"/>
      <c r="N134" s="941">
        <v>732.18463499999996</v>
      </c>
      <c r="O134" s="941">
        <v>7360.1991859999998</v>
      </c>
      <c r="P134" s="924">
        <v>5996.8824160000004</v>
      </c>
      <c r="Q134" s="924">
        <v>2271.1004280000002</v>
      </c>
      <c r="R134" s="924">
        <v>1289.408551</v>
      </c>
      <c r="S134" s="924">
        <v>2696.451767</v>
      </c>
      <c r="T134" s="924">
        <v>6256.9607459999997</v>
      </c>
    </row>
    <row r="135" spans="1:20" x14ac:dyDescent="0.25">
      <c r="A135" s="962" t="s">
        <v>952</v>
      </c>
      <c r="B135" s="919">
        <v>127.80985200000001</v>
      </c>
      <c r="C135" s="919" t="s">
        <v>921</v>
      </c>
      <c r="D135" s="920"/>
      <c r="E135" s="919">
        <v>355.044802</v>
      </c>
      <c r="F135" s="919">
        <v>141.32060899999999</v>
      </c>
      <c r="G135" s="920"/>
      <c r="H135" s="919">
        <v>192.54859500000001</v>
      </c>
      <c r="I135" s="963">
        <v>1248.4973230000001</v>
      </c>
      <c r="J135" s="919"/>
      <c r="K135" s="919"/>
      <c r="L135" s="919"/>
      <c r="M135" s="919"/>
      <c r="N135" s="963"/>
      <c r="O135" s="964">
        <v>1248.4973230000001</v>
      </c>
      <c r="P135" s="919">
        <v>1014.797396</v>
      </c>
      <c r="Q135" s="919">
        <v>126.435913</v>
      </c>
      <c r="R135" s="919">
        <v>212.13995600000001</v>
      </c>
      <c r="S135" s="919">
        <v>909.92145400000004</v>
      </c>
      <c r="T135" s="965">
        <v>1248.4973230000001</v>
      </c>
    </row>
    <row r="136" spans="1:20" x14ac:dyDescent="0.25">
      <c r="A136" s="962" t="s">
        <v>953</v>
      </c>
      <c r="B136" s="919">
        <v>1914.4746769999999</v>
      </c>
      <c r="C136" s="919">
        <v>1464.6855860000001</v>
      </c>
      <c r="D136" s="920">
        <v>323.53786300000002</v>
      </c>
      <c r="E136" s="919">
        <v>335.88861500000002</v>
      </c>
      <c r="F136" s="919" t="s">
        <v>921</v>
      </c>
      <c r="G136" s="920"/>
      <c r="H136" s="919">
        <v>85.842580999999996</v>
      </c>
      <c r="I136" s="963">
        <v>3802.2024940000001</v>
      </c>
      <c r="J136" s="919">
        <v>650.53262199999995</v>
      </c>
      <c r="K136" s="919"/>
      <c r="L136" s="919"/>
      <c r="M136" s="919"/>
      <c r="N136" s="963">
        <v>650.53262199999995</v>
      </c>
      <c r="O136" s="964">
        <v>4452.7351159999998</v>
      </c>
      <c r="P136" s="919">
        <v>3677.7460449999999</v>
      </c>
      <c r="Q136" s="919">
        <v>1931.517468</v>
      </c>
      <c r="R136" s="919">
        <v>581.83189800000002</v>
      </c>
      <c r="S136" s="919">
        <v>836.16283599999997</v>
      </c>
      <c r="T136" s="965">
        <v>3349.5122019999999</v>
      </c>
    </row>
    <row r="137" spans="1:20" x14ac:dyDescent="0.25">
      <c r="A137" s="962" t="s">
        <v>954</v>
      </c>
      <c r="B137" s="919"/>
      <c r="C137" s="919"/>
      <c r="D137" s="920"/>
      <c r="E137" s="919" t="s">
        <v>921</v>
      </c>
      <c r="F137" s="919"/>
      <c r="G137" s="920"/>
      <c r="H137" s="919"/>
      <c r="I137" s="963" t="s">
        <v>921</v>
      </c>
      <c r="J137" s="919"/>
      <c r="K137" s="919"/>
      <c r="L137" s="919"/>
      <c r="M137" s="919"/>
      <c r="N137" s="963"/>
      <c r="O137" s="964" t="s">
        <v>921</v>
      </c>
      <c r="P137" s="919"/>
      <c r="Q137" s="919" t="s">
        <v>921</v>
      </c>
      <c r="R137" s="919"/>
      <c r="S137" s="919"/>
      <c r="T137" s="965" t="s">
        <v>921</v>
      </c>
    </row>
    <row r="138" spans="1:20" x14ac:dyDescent="0.25">
      <c r="A138" s="962" t="s">
        <v>955</v>
      </c>
      <c r="B138" s="919">
        <v>216.353398</v>
      </c>
      <c r="C138" s="919"/>
      <c r="D138" s="920"/>
      <c r="E138" s="919" t="s">
        <v>921</v>
      </c>
      <c r="F138" s="919"/>
      <c r="G138" s="920"/>
      <c r="H138" s="919"/>
      <c r="I138" s="963">
        <v>1142.74297</v>
      </c>
      <c r="J138" s="919" t="s">
        <v>921</v>
      </c>
      <c r="K138" s="919"/>
      <c r="L138" s="919"/>
      <c r="M138" s="919"/>
      <c r="N138" s="963" t="s">
        <v>921</v>
      </c>
      <c r="O138" s="964">
        <v>1221.8123740000001</v>
      </c>
      <c r="P138" s="919">
        <v>1116.4961189999999</v>
      </c>
      <c r="Q138" s="919" t="s">
        <v>921</v>
      </c>
      <c r="R138" s="919">
        <v>218.076007</v>
      </c>
      <c r="S138" s="919">
        <v>950.36747700000001</v>
      </c>
      <c r="T138" s="965">
        <v>1221.8123740000001</v>
      </c>
    </row>
    <row r="139" spans="1:20" x14ac:dyDescent="0.25">
      <c r="A139" s="962" t="s">
        <v>956</v>
      </c>
      <c r="B139" s="919"/>
      <c r="C139" s="919"/>
      <c r="D139" s="920"/>
      <c r="E139" s="919" t="s">
        <v>921</v>
      </c>
      <c r="F139" s="919"/>
      <c r="G139" s="920"/>
      <c r="H139" s="919">
        <v>27.726700000000001</v>
      </c>
      <c r="I139" s="963">
        <v>32.547690000000003</v>
      </c>
      <c r="J139" s="919"/>
      <c r="K139" s="919"/>
      <c r="L139" s="919"/>
      <c r="M139" s="919"/>
      <c r="N139" s="963"/>
      <c r="O139" s="964">
        <v>32.547690000000003</v>
      </c>
      <c r="P139" s="919">
        <v>27.726700000000001</v>
      </c>
      <c r="Q139" s="919">
        <v>32.547690000000003</v>
      </c>
      <c r="R139" s="919"/>
      <c r="S139" s="919"/>
      <c r="T139" s="965">
        <v>32.547690000000003</v>
      </c>
    </row>
    <row r="140" spans="1:20" x14ac:dyDescent="0.25">
      <c r="A140" s="962" t="s">
        <v>957</v>
      </c>
      <c r="B140" s="919" t="s">
        <v>921</v>
      </c>
      <c r="C140" s="919" t="s">
        <v>921</v>
      </c>
      <c r="D140" s="920"/>
      <c r="E140" s="919" t="s">
        <v>921</v>
      </c>
      <c r="F140" s="919"/>
      <c r="G140" s="920"/>
      <c r="H140" s="919" t="s">
        <v>921</v>
      </c>
      <c r="I140" s="963">
        <v>207.86031700000001</v>
      </c>
      <c r="J140" s="919"/>
      <c r="K140" s="919"/>
      <c r="L140" s="919"/>
      <c r="M140" s="919"/>
      <c r="N140" s="963"/>
      <c r="O140" s="964">
        <v>207.86031700000001</v>
      </c>
      <c r="P140" s="919" t="s">
        <v>921</v>
      </c>
      <c r="Q140" s="919">
        <v>15.603821999999999</v>
      </c>
      <c r="R140" s="919" t="s">
        <v>921</v>
      </c>
      <c r="S140" s="919"/>
      <c r="T140" s="965">
        <v>207.86031700000001</v>
      </c>
    </row>
    <row r="141" spans="1:20" x14ac:dyDescent="0.25">
      <c r="A141" s="962" t="s">
        <v>958</v>
      </c>
      <c r="B141" s="919" t="s">
        <v>921</v>
      </c>
      <c r="C141" s="919"/>
      <c r="D141" s="920"/>
      <c r="E141" s="919">
        <v>13.041650000000001</v>
      </c>
      <c r="F141" s="919"/>
      <c r="G141" s="920"/>
      <c r="H141" s="919"/>
      <c r="I141" s="963">
        <v>70.758370999999997</v>
      </c>
      <c r="J141" s="919"/>
      <c r="K141" s="919"/>
      <c r="L141" s="919"/>
      <c r="M141" s="919"/>
      <c r="N141" s="963"/>
      <c r="O141" s="964">
        <v>70.758370999999997</v>
      </c>
      <c r="P141" s="919" t="s">
        <v>921</v>
      </c>
      <c r="Q141" s="919">
        <v>70.742845000000003</v>
      </c>
      <c r="R141" s="919"/>
      <c r="S141" s="919"/>
      <c r="T141" s="965">
        <v>70.742845000000003</v>
      </c>
    </row>
    <row r="142" spans="1:20" x14ac:dyDescent="0.25">
      <c r="A142" s="962" t="s">
        <v>959</v>
      </c>
      <c r="B142" s="919"/>
      <c r="C142" s="919"/>
      <c r="D142" s="920"/>
      <c r="E142" s="919"/>
      <c r="F142" s="919"/>
      <c r="G142" s="920"/>
      <c r="H142" s="919"/>
      <c r="I142" s="963"/>
      <c r="J142" s="919"/>
      <c r="K142" s="919"/>
      <c r="L142" s="919"/>
      <c r="M142" s="919"/>
      <c r="N142" s="963"/>
      <c r="O142" s="964"/>
      <c r="P142" s="919"/>
      <c r="Q142" s="919"/>
      <c r="R142" s="919"/>
      <c r="S142" s="919"/>
      <c r="T142" s="965"/>
    </row>
    <row r="143" spans="1:20" x14ac:dyDescent="0.25">
      <c r="A143" s="962" t="s">
        <v>960</v>
      </c>
      <c r="B143" s="919">
        <v>79.061774999999997</v>
      </c>
      <c r="C143" s="919" t="s">
        <v>921</v>
      </c>
      <c r="D143" s="920"/>
      <c r="E143" s="919" t="s">
        <v>921</v>
      </c>
      <c r="F143" s="919"/>
      <c r="G143" s="920"/>
      <c r="H143" s="919"/>
      <c r="I143" s="963">
        <v>122.56518</v>
      </c>
      <c r="J143" s="919"/>
      <c r="K143" s="919"/>
      <c r="L143" s="919" t="s">
        <v>921</v>
      </c>
      <c r="M143" s="919"/>
      <c r="N143" s="963" t="s">
        <v>921</v>
      </c>
      <c r="O143" s="964">
        <v>125.147789</v>
      </c>
      <c r="P143" s="919">
        <v>96.859342999999996</v>
      </c>
      <c r="Q143" s="919">
        <v>40.043593999999999</v>
      </c>
      <c r="R143" s="919">
        <v>85.104195000000004</v>
      </c>
      <c r="S143" s="919"/>
      <c r="T143" s="965">
        <v>125.147789</v>
      </c>
    </row>
    <row r="144" spans="1:20" s="948" customFormat="1" ht="15.75" thickBot="1" x14ac:dyDescent="0.3">
      <c r="A144" s="966" t="s">
        <v>116</v>
      </c>
      <c r="B144" s="967">
        <v>6043.2955359999996</v>
      </c>
      <c r="C144" s="967">
        <v>8858.8763670000008</v>
      </c>
      <c r="D144" s="968">
        <v>424.80228199999999</v>
      </c>
      <c r="E144" s="967">
        <v>5438.5970600000001</v>
      </c>
      <c r="F144" s="967">
        <v>6277.8307109999996</v>
      </c>
      <c r="G144" s="968" t="s">
        <v>921</v>
      </c>
      <c r="H144" s="967">
        <v>2363.5020399999999</v>
      </c>
      <c r="I144" s="967">
        <v>28982.101714</v>
      </c>
      <c r="J144" s="967">
        <v>6722.7613510000001</v>
      </c>
      <c r="K144" s="967">
        <v>2479.3612899999998</v>
      </c>
      <c r="L144" s="967">
        <v>6629.548683</v>
      </c>
      <c r="M144" s="967" t="s">
        <v>921</v>
      </c>
      <c r="N144" s="967">
        <v>15874.608713</v>
      </c>
      <c r="O144" s="967">
        <v>44856.710426999998</v>
      </c>
      <c r="P144" s="967">
        <v>37455.891439999999</v>
      </c>
      <c r="Q144" s="967">
        <v>7162.0374659999998</v>
      </c>
      <c r="R144" s="967">
        <v>11925.399251999999</v>
      </c>
      <c r="S144" s="967">
        <v>12961.301841</v>
      </c>
      <c r="T144" s="967">
        <v>32048.738559000001</v>
      </c>
    </row>
    <row r="145" spans="1:20" ht="15.75" thickTop="1" x14ac:dyDescent="0.25">
      <c r="A145" s="935" t="s">
        <v>963</v>
      </c>
      <c r="B145" s="969">
        <v>658.64114500000005</v>
      </c>
      <c r="C145" s="969">
        <v>144.37050400000001</v>
      </c>
      <c r="D145" s="970"/>
      <c r="E145" s="969">
        <v>302.42406599999998</v>
      </c>
      <c r="F145" s="969">
        <v>2470.4213749999999</v>
      </c>
      <c r="G145" s="970"/>
      <c r="H145" s="969" t="s">
        <v>921</v>
      </c>
      <c r="I145" s="971">
        <v>3575.8888400000001</v>
      </c>
      <c r="J145" s="969">
        <v>395.74007799999998</v>
      </c>
      <c r="K145" s="969"/>
      <c r="L145" s="969">
        <v>633.82484599999998</v>
      </c>
      <c r="M145" s="969"/>
      <c r="N145" s="971">
        <v>1029.564924</v>
      </c>
      <c r="O145" s="972">
        <v>4605.4537639999999</v>
      </c>
      <c r="P145" s="969">
        <v>4182.9460740000004</v>
      </c>
      <c r="Q145" s="969">
        <v>72.488215999999994</v>
      </c>
      <c r="R145" s="969">
        <v>504.55447400000003</v>
      </c>
      <c r="S145" s="969">
        <v>477.98303299999998</v>
      </c>
      <c r="T145" s="972">
        <v>1055.025723</v>
      </c>
    </row>
    <row r="146" spans="1:20" x14ac:dyDescent="0.25">
      <c r="A146" s="938" t="s">
        <v>964</v>
      </c>
      <c r="B146" s="919" t="s">
        <v>921</v>
      </c>
      <c r="C146" s="919"/>
      <c r="D146" s="920"/>
      <c r="E146" s="919" t="s">
        <v>921</v>
      </c>
      <c r="F146" s="919">
        <v>817.50646200000006</v>
      </c>
      <c r="G146" s="920"/>
      <c r="H146" s="919"/>
      <c r="I146" s="973">
        <v>1262.4030720000001</v>
      </c>
      <c r="J146" s="919"/>
      <c r="K146" s="919" t="s">
        <v>921</v>
      </c>
      <c r="L146" s="919">
        <v>1879.435516</v>
      </c>
      <c r="M146" s="919"/>
      <c r="N146" s="973">
        <v>3889.7409240000002</v>
      </c>
      <c r="O146" s="974">
        <v>5152.1439959999998</v>
      </c>
      <c r="P146" s="919">
        <v>5152.1439959999998</v>
      </c>
      <c r="Q146" s="919"/>
      <c r="R146" s="919" t="s">
        <v>921</v>
      </c>
      <c r="S146" s="919">
        <v>437.63648499999999</v>
      </c>
      <c r="T146" s="974">
        <v>459.29371900000001</v>
      </c>
    </row>
    <row r="147" spans="1:20" x14ac:dyDescent="0.25">
      <c r="A147" s="938" t="s">
        <v>965</v>
      </c>
      <c r="B147" s="919" t="s">
        <v>921</v>
      </c>
      <c r="C147" s="919"/>
      <c r="D147" s="920"/>
      <c r="E147" s="919" t="s">
        <v>921</v>
      </c>
      <c r="F147" s="919">
        <v>636.76174400000002</v>
      </c>
      <c r="G147" s="920"/>
      <c r="H147" s="919"/>
      <c r="I147" s="973">
        <v>1370.7792280000001</v>
      </c>
      <c r="J147" s="919" t="s">
        <v>921</v>
      </c>
      <c r="K147" s="919"/>
      <c r="L147" s="919"/>
      <c r="M147" s="919"/>
      <c r="N147" s="973" t="s">
        <v>921</v>
      </c>
      <c r="O147" s="974">
        <v>2536.6473209999999</v>
      </c>
      <c r="P147" s="919">
        <v>2525.5834319999999</v>
      </c>
      <c r="Q147" s="919" t="s">
        <v>921</v>
      </c>
      <c r="R147" s="919"/>
      <c r="S147" s="919"/>
      <c r="T147" s="974" t="s">
        <v>921</v>
      </c>
    </row>
    <row r="148" spans="1:20" x14ac:dyDescent="0.25">
      <c r="A148" s="938" t="s">
        <v>966</v>
      </c>
      <c r="B148" s="919">
        <v>41.388427999999998</v>
      </c>
      <c r="C148" s="919"/>
      <c r="D148" s="920"/>
      <c r="E148" s="919" t="s">
        <v>921</v>
      </c>
      <c r="F148" s="919"/>
      <c r="G148" s="920"/>
      <c r="H148" s="919" t="s">
        <v>921</v>
      </c>
      <c r="I148" s="973">
        <v>89.132293000000004</v>
      </c>
      <c r="J148" s="919"/>
      <c r="K148" s="919"/>
      <c r="L148" s="919"/>
      <c r="M148" s="919"/>
      <c r="N148" s="973"/>
      <c r="O148" s="974">
        <v>89.132293000000004</v>
      </c>
      <c r="P148" s="919">
        <v>58.923962000000003</v>
      </c>
      <c r="Q148" s="919">
        <v>30.208331000000001</v>
      </c>
      <c r="R148" s="919"/>
      <c r="S148" s="919" t="s">
        <v>921</v>
      </c>
      <c r="T148" s="974">
        <v>55.451203</v>
      </c>
    </row>
    <row r="149" spans="1:20" x14ac:dyDescent="0.25">
      <c r="A149" s="938" t="s">
        <v>967</v>
      </c>
      <c r="B149" s="919">
        <v>33.87527</v>
      </c>
      <c r="C149" s="919"/>
      <c r="D149" s="920"/>
      <c r="E149" s="919">
        <v>1398.704301</v>
      </c>
      <c r="F149" s="919">
        <v>1027.9965110000001</v>
      </c>
      <c r="G149" s="920" t="s">
        <v>921</v>
      </c>
      <c r="H149" s="919" t="s">
        <v>921</v>
      </c>
      <c r="I149" s="973">
        <v>2470.3927440000002</v>
      </c>
      <c r="J149" s="919"/>
      <c r="K149" s="919" t="s">
        <v>921</v>
      </c>
      <c r="L149" s="919">
        <v>7423.7164359999997</v>
      </c>
      <c r="M149" s="919"/>
      <c r="N149" s="973">
        <v>14258.755385</v>
      </c>
      <c r="O149" s="974">
        <v>16729.148129000001</v>
      </c>
      <c r="P149" s="919">
        <v>16021.457306</v>
      </c>
      <c r="Q149" s="919">
        <v>68.579128999999995</v>
      </c>
      <c r="R149" s="919">
        <v>254.232744</v>
      </c>
      <c r="S149" s="919" t="s">
        <v>921</v>
      </c>
      <c r="T149" s="974">
        <v>7567.6073669999996</v>
      </c>
    </row>
    <row r="150" spans="1:20" x14ac:dyDescent="0.25">
      <c r="A150" s="938" t="s">
        <v>968</v>
      </c>
      <c r="B150" s="919" t="s">
        <v>921</v>
      </c>
      <c r="C150" s="919"/>
      <c r="D150" s="920"/>
      <c r="E150" s="919"/>
      <c r="F150" s="919">
        <v>37.594183999999998</v>
      </c>
      <c r="G150" s="920"/>
      <c r="H150" s="919"/>
      <c r="I150" s="973">
        <v>41.910496000000002</v>
      </c>
      <c r="J150" s="919"/>
      <c r="K150" s="919"/>
      <c r="L150" s="919" t="s">
        <v>921</v>
      </c>
      <c r="M150" s="919" t="s">
        <v>921</v>
      </c>
      <c r="N150" s="973" t="s">
        <v>921</v>
      </c>
      <c r="O150" s="974">
        <v>526.58863299999996</v>
      </c>
      <c r="P150" s="919">
        <v>526.58863299999996</v>
      </c>
      <c r="Q150" s="919" t="s">
        <v>921</v>
      </c>
      <c r="R150" s="919" t="s">
        <v>921</v>
      </c>
      <c r="S150" s="919" t="s">
        <v>921</v>
      </c>
      <c r="T150" s="974">
        <v>486.65867300000002</v>
      </c>
    </row>
    <row r="151" spans="1:20" x14ac:dyDescent="0.25">
      <c r="A151" s="938" t="s">
        <v>969</v>
      </c>
      <c r="B151" s="919"/>
      <c r="C151" s="919"/>
      <c r="D151" s="920"/>
      <c r="E151" s="919"/>
      <c r="F151" s="919"/>
      <c r="G151" s="920"/>
      <c r="H151" s="919"/>
      <c r="I151" s="973"/>
      <c r="J151" s="919"/>
      <c r="K151" s="919"/>
      <c r="L151" s="919"/>
      <c r="M151" s="919"/>
      <c r="N151" s="973"/>
      <c r="O151" s="974"/>
      <c r="P151" s="919"/>
      <c r="Q151" s="919"/>
      <c r="R151" s="919"/>
      <c r="S151" s="919"/>
      <c r="T151" s="974"/>
    </row>
    <row r="152" spans="1:20" x14ac:dyDescent="0.25">
      <c r="A152" s="938" t="s">
        <v>970</v>
      </c>
      <c r="B152" s="919" t="s">
        <v>921</v>
      </c>
      <c r="C152" s="919" t="s">
        <v>921</v>
      </c>
      <c r="D152" s="920"/>
      <c r="E152" s="919" t="s">
        <v>921</v>
      </c>
      <c r="F152" s="919">
        <v>9567.410065</v>
      </c>
      <c r="G152" s="920"/>
      <c r="H152" s="919"/>
      <c r="I152" s="973">
        <v>11458.131226</v>
      </c>
      <c r="J152" s="919"/>
      <c r="K152" s="919"/>
      <c r="L152" s="919">
        <v>1124.859426</v>
      </c>
      <c r="M152" s="919"/>
      <c r="N152" s="973">
        <v>1124.859426</v>
      </c>
      <c r="O152" s="974">
        <v>12582.990652</v>
      </c>
      <c r="P152" s="919">
        <v>12567.327066</v>
      </c>
      <c r="Q152" s="919" t="s">
        <v>921</v>
      </c>
      <c r="R152" s="919">
        <v>54.558222000000001</v>
      </c>
      <c r="S152" s="919">
        <v>321.34985399999999</v>
      </c>
      <c r="T152" s="974">
        <v>391.571662</v>
      </c>
    </row>
    <row r="153" spans="1:20" x14ac:dyDescent="0.25">
      <c r="A153" s="938" t="s">
        <v>971</v>
      </c>
      <c r="B153" s="919">
        <v>126.007959</v>
      </c>
      <c r="C153" s="919"/>
      <c r="D153" s="920"/>
      <c r="E153" s="919" t="s">
        <v>921</v>
      </c>
      <c r="F153" s="919">
        <v>2749.2504779999999</v>
      </c>
      <c r="G153" s="920"/>
      <c r="H153" s="919"/>
      <c r="I153" s="973">
        <v>2987.9207070000002</v>
      </c>
      <c r="J153" s="919" t="s">
        <v>921</v>
      </c>
      <c r="K153" s="919"/>
      <c r="L153" s="919">
        <v>2009.6282060000001</v>
      </c>
      <c r="M153" s="919"/>
      <c r="N153" s="973">
        <v>2349.2529970000001</v>
      </c>
      <c r="O153" s="974">
        <v>5337.1737039999998</v>
      </c>
      <c r="P153" s="919">
        <v>4819.4776830000001</v>
      </c>
      <c r="Q153" s="919"/>
      <c r="R153" s="919">
        <v>2549.4141599999998</v>
      </c>
      <c r="S153" s="919">
        <v>2328.8409649999999</v>
      </c>
      <c r="T153" s="974">
        <v>4878.2551249999997</v>
      </c>
    </row>
    <row r="154" spans="1:20" x14ac:dyDescent="0.25">
      <c r="A154" s="938" t="s">
        <v>972</v>
      </c>
      <c r="B154" s="919">
        <v>1262.3546309999999</v>
      </c>
      <c r="C154" s="919" t="s">
        <v>921</v>
      </c>
      <c r="D154" s="920"/>
      <c r="E154" s="919">
        <v>275.66877799999997</v>
      </c>
      <c r="F154" s="919">
        <v>907.95041800000001</v>
      </c>
      <c r="G154" s="920"/>
      <c r="H154" s="919" t="s">
        <v>921</v>
      </c>
      <c r="I154" s="973">
        <v>2528.0718740000002</v>
      </c>
      <c r="J154" s="919"/>
      <c r="K154" s="919"/>
      <c r="L154" s="919">
        <v>51.726139000000003</v>
      </c>
      <c r="M154" s="919" t="s">
        <v>921</v>
      </c>
      <c r="N154" s="973">
        <v>133.99748</v>
      </c>
      <c r="O154" s="974">
        <v>2662.0693540000002</v>
      </c>
      <c r="P154" s="919">
        <v>2088.4172640000002</v>
      </c>
      <c r="Q154" s="919">
        <v>44.992804999999997</v>
      </c>
      <c r="R154" s="919">
        <v>320.54486600000001</v>
      </c>
      <c r="S154" s="919">
        <v>1346.9954009999999</v>
      </c>
      <c r="T154" s="974">
        <v>1712.5330719999999</v>
      </c>
    </row>
    <row r="155" spans="1:20" x14ac:dyDescent="0.25">
      <c r="A155" s="938" t="s">
        <v>973</v>
      </c>
      <c r="B155" s="919">
        <v>1636.2425699999999</v>
      </c>
      <c r="C155" s="919" t="s">
        <v>921</v>
      </c>
      <c r="D155" s="920"/>
      <c r="E155" s="919"/>
      <c r="F155" s="919">
        <v>471.35642899999999</v>
      </c>
      <c r="G155" s="920"/>
      <c r="H155" s="919"/>
      <c r="I155" s="973">
        <v>2357.9487690000001</v>
      </c>
      <c r="J155" s="919"/>
      <c r="K155" s="919"/>
      <c r="L155" s="919">
        <v>90.142151999999996</v>
      </c>
      <c r="M155" s="919"/>
      <c r="N155" s="973">
        <v>90.142151999999996</v>
      </c>
      <c r="O155" s="974">
        <v>2448.090921</v>
      </c>
      <c r="P155" s="919">
        <v>2197.7411510000002</v>
      </c>
      <c r="Q155" s="919"/>
      <c r="R155" s="919" t="s">
        <v>921</v>
      </c>
      <c r="S155" s="919">
        <v>375.223634</v>
      </c>
      <c r="T155" s="974">
        <v>840.37804800000004</v>
      </c>
    </row>
    <row r="156" spans="1:20" x14ac:dyDescent="0.25">
      <c r="A156" s="938" t="s">
        <v>974</v>
      </c>
      <c r="B156" s="919">
        <v>254.935182</v>
      </c>
      <c r="C156" s="919"/>
      <c r="D156" s="920"/>
      <c r="E156" s="919"/>
      <c r="F156" s="919"/>
      <c r="G156" s="920"/>
      <c r="H156" s="919" t="s">
        <v>921</v>
      </c>
      <c r="I156" s="973">
        <v>254.96710100000001</v>
      </c>
      <c r="J156" s="919"/>
      <c r="K156" s="919"/>
      <c r="L156" s="919"/>
      <c r="M156" s="919"/>
      <c r="N156" s="973"/>
      <c r="O156" s="974">
        <v>254.96710100000001</v>
      </c>
      <c r="P156" s="919" t="s">
        <v>921</v>
      </c>
      <c r="Q156" s="919" t="s">
        <v>921</v>
      </c>
      <c r="R156" s="919"/>
      <c r="S156" s="919"/>
      <c r="T156" s="974" t="s">
        <v>921</v>
      </c>
    </row>
    <row r="157" spans="1:20" x14ac:dyDescent="0.25">
      <c r="A157" s="938" t="s">
        <v>975</v>
      </c>
      <c r="B157" s="919" t="s">
        <v>921</v>
      </c>
      <c r="C157" s="919" t="s">
        <v>921</v>
      </c>
      <c r="D157" s="920"/>
      <c r="E157" s="919">
        <v>639.22389799999996</v>
      </c>
      <c r="F157" s="919">
        <v>1117.9323039999999</v>
      </c>
      <c r="G157" s="920"/>
      <c r="H157" s="919"/>
      <c r="I157" s="973">
        <v>3226.9443670000001</v>
      </c>
      <c r="J157" s="919" t="s">
        <v>921</v>
      </c>
      <c r="K157" s="919"/>
      <c r="L157" s="919">
        <v>513.40715499999999</v>
      </c>
      <c r="M157" s="919"/>
      <c r="N157" s="973">
        <v>1317.090604</v>
      </c>
      <c r="O157" s="974">
        <v>4544.034971</v>
      </c>
      <c r="P157" s="919">
        <v>4239.2807439999997</v>
      </c>
      <c r="Q157" s="919"/>
      <c r="R157" s="919" t="s">
        <v>921</v>
      </c>
      <c r="S157" s="919">
        <v>2191.2828300000001</v>
      </c>
      <c r="T157" s="974">
        <v>2248.967537</v>
      </c>
    </row>
    <row r="158" spans="1:20" x14ac:dyDescent="0.25">
      <c r="A158" s="938" t="s">
        <v>976</v>
      </c>
      <c r="B158" s="919"/>
      <c r="C158" s="919"/>
      <c r="D158" s="920"/>
      <c r="E158" s="919"/>
      <c r="F158" s="919">
        <v>348.714316</v>
      </c>
      <c r="G158" s="920"/>
      <c r="H158" s="919"/>
      <c r="I158" s="973">
        <v>348.714316</v>
      </c>
      <c r="J158" s="919">
        <v>1200.2325510000001</v>
      </c>
      <c r="K158" s="919"/>
      <c r="L158" s="919">
        <v>825.48733900000002</v>
      </c>
      <c r="M158" s="919" t="s">
        <v>921</v>
      </c>
      <c r="N158" s="973">
        <v>3061.2240820000002</v>
      </c>
      <c r="O158" s="974">
        <v>3409.9383979999998</v>
      </c>
      <c r="P158" s="919">
        <v>2936.9133510000001</v>
      </c>
      <c r="Q158" s="919"/>
      <c r="R158" s="919"/>
      <c r="S158" s="919"/>
      <c r="T158" s="974"/>
    </row>
    <row r="159" spans="1:20" x14ac:dyDescent="0.25">
      <c r="A159" s="938" t="s">
        <v>977</v>
      </c>
      <c r="B159" s="919">
        <v>67.629350000000002</v>
      </c>
      <c r="C159" s="919">
        <v>146.84471300000001</v>
      </c>
      <c r="D159" s="920"/>
      <c r="E159" s="919" t="s">
        <v>921</v>
      </c>
      <c r="F159" s="919">
        <v>648.60608500000001</v>
      </c>
      <c r="G159" s="920"/>
      <c r="H159" s="919">
        <v>12.029534</v>
      </c>
      <c r="I159" s="973">
        <v>879.07356300000004</v>
      </c>
      <c r="J159" s="919" t="s">
        <v>921</v>
      </c>
      <c r="K159" s="919"/>
      <c r="L159" s="919"/>
      <c r="M159" s="919"/>
      <c r="N159" s="973" t="s">
        <v>921</v>
      </c>
      <c r="O159" s="974">
        <v>911.65961500000003</v>
      </c>
      <c r="P159" s="919">
        <v>849.71035700000004</v>
      </c>
      <c r="Q159" s="919">
        <v>107.949175</v>
      </c>
      <c r="R159" s="919">
        <v>570.69757700000002</v>
      </c>
      <c r="S159" s="919">
        <v>226.99454</v>
      </c>
      <c r="T159" s="974">
        <v>905.64129200000002</v>
      </c>
    </row>
    <row r="160" spans="1:20" x14ac:dyDescent="0.25">
      <c r="A160" s="910" t="s">
        <v>136</v>
      </c>
      <c r="B160" s="924">
        <v>303.93570599999998</v>
      </c>
      <c r="C160" s="924">
        <v>81.931010000000001</v>
      </c>
      <c r="D160" s="925"/>
      <c r="E160" s="924">
        <v>401.57588399999997</v>
      </c>
      <c r="F160" s="924">
        <v>1637.882951</v>
      </c>
      <c r="G160" s="925"/>
      <c r="H160" s="924">
        <v>15.977107</v>
      </c>
      <c r="I160" s="941">
        <v>2441.3026580000001</v>
      </c>
      <c r="J160" s="924">
        <v>1337.714907</v>
      </c>
      <c r="K160" s="924"/>
      <c r="L160" s="924">
        <v>7067.799094</v>
      </c>
      <c r="M160" s="924" t="s">
        <v>921</v>
      </c>
      <c r="N160" s="941">
        <v>8712.0632260000002</v>
      </c>
      <c r="O160" s="941">
        <v>11153.365884000001</v>
      </c>
      <c r="P160" s="924">
        <v>9269.2685550000006</v>
      </c>
      <c r="Q160" s="924">
        <v>207.57696200000001</v>
      </c>
      <c r="R160" s="924">
        <v>1145.9022930000001</v>
      </c>
      <c r="S160" s="924">
        <v>2049.2628049999998</v>
      </c>
      <c r="T160" s="941">
        <v>3402.74206</v>
      </c>
    </row>
    <row r="161" spans="1:20" x14ac:dyDescent="0.25">
      <c r="A161" s="939" t="s">
        <v>978</v>
      </c>
      <c r="B161" s="919"/>
      <c r="C161" s="919"/>
      <c r="D161" s="920"/>
      <c r="E161" s="919"/>
      <c r="F161" s="919"/>
      <c r="G161" s="920"/>
      <c r="H161" s="919"/>
      <c r="I161" s="973"/>
      <c r="J161" s="919" t="s">
        <v>921</v>
      </c>
      <c r="K161" s="919"/>
      <c r="L161" s="919"/>
      <c r="M161" s="919"/>
      <c r="N161" s="973" t="s">
        <v>921</v>
      </c>
      <c r="O161" s="974" t="s">
        <v>921</v>
      </c>
      <c r="P161" s="919" t="s">
        <v>921</v>
      </c>
      <c r="Q161" s="919" t="s">
        <v>921</v>
      </c>
      <c r="R161" s="919"/>
      <c r="S161" s="919"/>
      <c r="T161" s="974" t="s">
        <v>921</v>
      </c>
    </row>
    <row r="162" spans="1:20" x14ac:dyDescent="0.25">
      <c r="A162" s="939" t="s">
        <v>979</v>
      </c>
      <c r="B162" s="919"/>
      <c r="C162" s="919"/>
      <c r="D162" s="920"/>
      <c r="E162" s="919"/>
      <c r="F162" s="919"/>
      <c r="G162" s="920"/>
      <c r="H162" s="919"/>
      <c r="I162" s="973"/>
      <c r="J162" s="919"/>
      <c r="K162" s="919"/>
      <c r="L162" s="919"/>
      <c r="M162" s="919"/>
      <c r="N162" s="973"/>
      <c r="O162" s="974"/>
      <c r="P162" s="919"/>
      <c r="Q162" s="919"/>
      <c r="R162" s="919"/>
      <c r="S162" s="919"/>
      <c r="T162" s="974"/>
    </row>
    <row r="163" spans="1:20" x14ac:dyDescent="0.25">
      <c r="A163" s="939" t="s">
        <v>980</v>
      </c>
      <c r="B163" s="919"/>
      <c r="C163" s="919" t="s">
        <v>921</v>
      </c>
      <c r="D163" s="920"/>
      <c r="E163" s="919" t="s">
        <v>921</v>
      </c>
      <c r="F163" s="919" t="s">
        <v>921</v>
      </c>
      <c r="G163" s="920"/>
      <c r="H163" s="919"/>
      <c r="I163" s="973">
        <v>321.97464400000001</v>
      </c>
      <c r="J163" s="919"/>
      <c r="K163" s="919"/>
      <c r="L163" s="919"/>
      <c r="M163" s="919"/>
      <c r="N163" s="973"/>
      <c r="O163" s="974">
        <v>321.97464400000001</v>
      </c>
      <c r="P163" s="919" t="s">
        <v>921</v>
      </c>
      <c r="Q163" s="919" t="s">
        <v>921</v>
      </c>
      <c r="R163" s="919">
        <v>315.26432399999999</v>
      </c>
      <c r="S163" s="919"/>
      <c r="T163" s="974">
        <v>321.97464400000001</v>
      </c>
    </row>
    <row r="164" spans="1:20" x14ac:dyDescent="0.25">
      <c r="A164" s="939" t="s">
        <v>981</v>
      </c>
      <c r="B164" s="919"/>
      <c r="C164" s="919"/>
      <c r="D164" s="920"/>
      <c r="E164" s="919"/>
      <c r="F164" s="919"/>
      <c r="G164" s="920"/>
      <c r="H164" s="919"/>
      <c r="I164" s="973"/>
      <c r="J164" s="919"/>
      <c r="K164" s="919"/>
      <c r="L164" s="919">
        <v>2796.6223669999999</v>
      </c>
      <c r="M164" s="919" t="s">
        <v>921</v>
      </c>
      <c r="N164" s="973">
        <v>3102.4324980000001</v>
      </c>
      <c r="O164" s="974">
        <v>3102.4324980000001</v>
      </c>
      <c r="P164" s="919">
        <v>3102.4324980000001</v>
      </c>
      <c r="Q164" s="919"/>
      <c r="R164" s="919" t="s">
        <v>921</v>
      </c>
      <c r="S164" s="919"/>
      <c r="T164" s="974" t="s">
        <v>921</v>
      </c>
    </row>
    <row r="165" spans="1:20" x14ac:dyDescent="0.25">
      <c r="A165" s="939" t="s">
        <v>982</v>
      </c>
      <c r="B165" s="919"/>
      <c r="C165" s="919"/>
      <c r="D165" s="920"/>
      <c r="E165" s="919"/>
      <c r="F165" s="919"/>
      <c r="G165" s="920"/>
      <c r="H165" s="919"/>
      <c r="I165" s="973"/>
      <c r="J165" s="919"/>
      <c r="K165" s="919"/>
      <c r="L165" s="919"/>
      <c r="M165" s="919"/>
      <c r="N165" s="973"/>
      <c r="O165" s="974"/>
      <c r="P165" s="919"/>
      <c r="Q165" s="919"/>
      <c r="R165" s="919"/>
      <c r="S165" s="919"/>
      <c r="T165" s="974"/>
    </row>
    <row r="166" spans="1:20" x14ac:dyDescent="0.25">
      <c r="A166" s="939" t="s">
        <v>983</v>
      </c>
      <c r="B166" s="919" t="s">
        <v>921</v>
      </c>
      <c r="C166" s="919" t="s">
        <v>921</v>
      </c>
      <c r="D166" s="920"/>
      <c r="E166" s="919">
        <v>47.343834000000001</v>
      </c>
      <c r="F166" s="919">
        <v>75.149899000000005</v>
      </c>
      <c r="G166" s="920"/>
      <c r="H166" s="919"/>
      <c r="I166" s="973">
        <v>157.42738900000001</v>
      </c>
      <c r="J166" s="919"/>
      <c r="K166" s="919"/>
      <c r="L166" s="919">
        <v>737.34302500000001</v>
      </c>
      <c r="M166" s="919"/>
      <c r="N166" s="973">
        <v>737.34302500000001</v>
      </c>
      <c r="O166" s="974">
        <v>894.77041399999996</v>
      </c>
      <c r="P166" s="919">
        <v>830.03200000000004</v>
      </c>
      <c r="Q166" s="919">
        <v>15.027692999999999</v>
      </c>
      <c r="R166" s="919">
        <v>130.54220000000001</v>
      </c>
      <c r="S166" s="919">
        <v>353.55930999999998</v>
      </c>
      <c r="T166" s="974">
        <v>499.12920300000002</v>
      </c>
    </row>
    <row r="167" spans="1:20" x14ac:dyDescent="0.25">
      <c r="A167" s="939" t="s">
        <v>984</v>
      </c>
      <c r="B167" s="919"/>
      <c r="C167" s="919"/>
      <c r="D167" s="920"/>
      <c r="E167" s="919" t="s">
        <v>921</v>
      </c>
      <c r="F167" s="919"/>
      <c r="G167" s="920"/>
      <c r="H167" s="919"/>
      <c r="I167" s="973" t="s">
        <v>921</v>
      </c>
      <c r="J167" s="919"/>
      <c r="K167" s="919"/>
      <c r="L167" s="919"/>
      <c r="M167" s="919"/>
      <c r="N167" s="973"/>
      <c r="O167" s="974" t="s">
        <v>921</v>
      </c>
      <c r="P167" s="919"/>
      <c r="Q167" s="919"/>
      <c r="R167" s="919" t="s">
        <v>921</v>
      </c>
      <c r="S167" s="919"/>
      <c r="T167" s="974" t="s">
        <v>921</v>
      </c>
    </row>
    <row r="168" spans="1:20" x14ac:dyDescent="0.25">
      <c r="A168" s="939" t="s">
        <v>985</v>
      </c>
      <c r="B168" s="919" t="s">
        <v>921</v>
      </c>
      <c r="C168" s="919"/>
      <c r="D168" s="920"/>
      <c r="E168" s="919"/>
      <c r="F168" s="919"/>
      <c r="G168" s="920"/>
      <c r="H168" s="919"/>
      <c r="I168" s="973" t="s">
        <v>921</v>
      </c>
      <c r="J168" s="919"/>
      <c r="K168" s="919"/>
      <c r="L168" s="919">
        <v>4.3089120000000003</v>
      </c>
      <c r="M168" s="919"/>
      <c r="N168" s="973">
        <v>4.3089120000000003</v>
      </c>
      <c r="O168" s="974">
        <v>13.006341000000001</v>
      </c>
      <c r="P168" s="919">
        <v>4.3089120000000003</v>
      </c>
      <c r="Q168" s="919" t="s">
        <v>921</v>
      </c>
      <c r="R168" s="919"/>
      <c r="S168" s="919">
        <v>4.3089120000000003</v>
      </c>
      <c r="T168" s="974">
        <v>13.006341000000001</v>
      </c>
    </row>
    <row r="169" spans="1:20" x14ac:dyDescent="0.25">
      <c r="A169" s="939" t="s">
        <v>986</v>
      </c>
      <c r="B169" s="919"/>
      <c r="C169" s="919"/>
      <c r="D169" s="920"/>
      <c r="E169" s="919"/>
      <c r="F169" s="919">
        <v>151.06911700000001</v>
      </c>
      <c r="G169" s="920"/>
      <c r="H169" s="919"/>
      <c r="I169" s="973">
        <v>151.06911700000001</v>
      </c>
      <c r="J169" s="919"/>
      <c r="K169" s="919"/>
      <c r="L169" s="919">
        <v>159.86376300000001</v>
      </c>
      <c r="M169" s="919"/>
      <c r="N169" s="973">
        <v>159.86376300000001</v>
      </c>
      <c r="O169" s="974">
        <v>310.93288000000001</v>
      </c>
      <c r="P169" s="919">
        <v>310.93288000000001</v>
      </c>
      <c r="Q169" s="919"/>
      <c r="R169" s="919"/>
      <c r="S169" s="919">
        <v>151.06911700000001</v>
      </c>
      <c r="T169" s="974">
        <v>151.06911700000001</v>
      </c>
    </row>
    <row r="170" spans="1:20" x14ac:dyDescent="0.25">
      <c r="A170" s="939" t="s">
        <v>987</v>
      </c>
      <c r="B170" s="919"/>
      <c r="C170" s="919"/>
      <c r="D170" s="920"/>
      <c r="E170" s="919"/>
      <c r="F170" s="919"/>
      <c r="G170" s="920"/>
      <c r="H170" s="919"/>
      <c r="I170" s="973"/>
      <c r="J170" s="919"/>
      <c r="K170" s="919"/>
      <c r="L170" s="919"/>
      <c r="M170" s="919"/>
      <c r="N170" s="973"/>
      <c r="O170" s="974"/>
      <c r="P170" s="919"/>
      <c r="Q170" s="919"/>
      <c r="R170" s="919"/>
      <c r="S170" s="919"/>
      <c r="T170" s="974"/>
    </row>
    <row r="171" spans="1:20" x14ac:dyDescent="0.25">
      <c r="A171" s="939" t="s">
        <v>988</v>
      </c>
      <c r="B171" s="919">
        <v>196.76300900000001</v>
      </c>
      <c r="C171" s="919" t="s">
        <v>921</v>
      </c>
      <c r="D171" s="920"/>
      <c r="E171" s="919"/>
      <c r="F171" s="919">
        <v>197.59573399999999</v>
      </c>
      <c r="G171" s="920"/>
      <c r="H171" s="919"/>
      <c r="I171" s="973">
        <v>419.05521599999997</v>
      </c>
      <c r="J171" s="919" t="s">
        <v>921</v>
      </c>
      <c r="K171" s="919"/>
      <c r="L171" s="919">
        <v>1086.3827240000001</v>
      </c>
      <c r="M171" s="919"/>
      <c r="N171" s="973">
        <v>2007.878336</v>
      </c>
      <c r="O171" s="974">
        <v>2426.933552</v>
      </c>
      <c r="P171" s="919">
        <v>1392.5741640000001</v>
      </c>
      <c r="Q171" s="919">
        <v>119.71262299999999</v>
      </c>
      <c r="R171" s="919">
        <v>193.49630400000001</v>
      </c>
      <c r="S171" s="919">
        <v>674.18291099999999</v>
      </c>
      <c r="T171" s="974">
        <v>987.39183800000001</v>
      </c>
    </row>
    <row r="172" spans="1:20" x14ac:dyDescent="0.25">
      <c r="A172" s="939" t="s">
        <v>989</v>
      </c>
      <c r="B172" s="919">
        <v>60.344264000000003</v>
      </c>
      <c r="C172" s="919"/>
      <c r="D172" s="920"/>
      <c r="E172" s="919"/>
      <c r="F172" s="919">
        <v>18.460661000000002</v>
      </c>
      <c r="G172" s="920"/>
      <c r="H172" s="919" t="s">
        <v>921</v>
      </c>
      <c r="I172" s="973">
        <v>88.807424999999995</v>
      </c>
      <c r="J172" s="919"/>
      <c r="K172" s="919"/>
      <c r="L172" s="919"/>
      <c r="M172" s="919"/>
      <c r="N172" s="973"/>
      <c r="O172" s="974">
        <v>88.807424999999995</v>
      </c>
      <c r="P172" s="919">
        <v>88.807424999999995</v>
      </c>
      <c r="Q172" s="919" t="s">
        <v>921</v>
      </c>
      <c r="R172" s="919">
        <v>40.984532999999999</v>
      </c>
      <c r="S172" s="919" t="s">
        <v>921</v>
      </c>
      <c r="T172" s="974">
        <v>88.807424999999995</v>
      </c>
    </row>
    <row r="173" spans="1:20" x14ac:dyDescent="0.25">
      <c r="A173" s="939" t="s">
        <v>990</v>
      </c>
      <c r="B173" s="919"/>
      <c r="C173" s="919"/>
      <c r="D173" s="920"/>
      <c r="E173" s="919"/>
      <c r="F173" s="919"/>
      <c r="G173" s="920"/>
      <c r="H173" s="919"/>
      <c r="I173" s="973"/>
      <c r="J173" s="919"/>
      <c r="K173" s="919"/>
      <c r="L173" s="919"/>
      <c r="M173" s="919"/>
      <c r="N173" s="973"/>
      <c r="O173" s="974"/>
      <c r="P173" s="919"/>
      <c r="Q173" s="919"/>
      <c r="R173" s="919"/>
      <c r="S173" s="919"/>
      <c r="T173" s="974"/>
    </row>
    <row r="174" spans="1:20" x14ac:dyDescent="0.25">
      <c r="A174" s="939" t="s">
        <v>991</v>
      </c>
      <c r="B174" s="919"/>
      <c r="C174" s="919"/>
      <c r="D174" s="920"/>
      <c r="E174" s="919"/>
      <c r="F174" s="919"/>
      <c r="G174" s="920"/>
      <c r="H174" s="919"/>
      <c r="I174" s="973"/>
      <c r="J174" s="919"/>
      <c r="K174" s="919"/>
      <c r="L174" s="919"/>
      <c r="M174" s="919"/>
      <c r="N174" s="973"/>
      <c r="O174" s="974"/>
      <c r="P174" s="919"/>
      <c r="Q174" s="919"/>
      <c r="R174" s="919"/>
      <c r="S174" s="919"/>
      <c r="T174" s="974"/>
    </row>
    <row r="175" spans="1:20" x14ac:dyDescent="0.25">
      <c r="A175" s="939" t="s">
        <v>992</v>
      </c>
      <c r="B175" s="919" t="s">
        <v>921</v>
      </c>
      <c r="C175" s="919"/>
      <c r="D175" s="920"/>
      <c r="E175" s="919" t="s">
        <v>921</v>
      </c>
      <c r="F175" s="919" t="s">
        <v>921</v>
      </c>
      <c r="G175" s="920"/>
      <c r="H175" s="919"/>
      <c r="I175" s="973">
        <v>71.861830999999995</v>
      </c>
      <c r="J175" s="919"/>
      <c r="K175" s="919"/>
      <c r="L175" s="919">
        <v>172.06625299999999</v>
      </c>
      <c r="M175" s="919"/>
      <c r="N175" s="973">
        <v>172.06625299999999</v>
      </c>
      <c r="O175" s="974">
        <v>243.92808400000001</v>
      </c>
      <c r="P175" s="919">
        <v>243.92438999999999</v>
      </c>
      <c r="Q175" s="919" t="s">
        <v>921</v>
      </c>
      <c r="R175" s="919" t="s">
        <v>921</v>
      </c>
      <c r="S175" s="919"/>
      <c r="T175" s="974">
        <v>2.7110449999999999</v>
      </c>
    </row>
    <row r="176" spans="1:20" x14ac:dyDescent="0.25">
      <c r="A176" s="939" t="s">
        <v>993</v>
      </c>
      <c r="B176" s="919"/>
      <c r="C176" s="919"/>
      <c r="D176" s="920"/>
      <c r="E176" s="919"/>
      <c r="F176" s="919"/>
      <c r="G176" s="920"/>
      <c r="H176" s="919"/>
      <c r="I176" s="973"/>
      <c r="J176" s="919"/>
      <c r="K176" s="919"/>
      <c r="L176" s="919"/>
      <c r="M176" s="919"/>
      <c r="N176" s="973"/>
      <c r="O176" s="974"/>
      <c r="P176" s="919"/>
      <c r="Q176" s="919"/>
      <c r="R176" s="919"/>
      <c r="S176" s="919"/>
      <c r="T176" s="974"/>
    </row>
    <row r="177" spans="1:20" x14ac:dyDescent="0.25">
      <c r="A177" s="939" t="s">
        <v>994</v>
      </c>
      <c r="B177" s="919" t="s">
        <v>921</v>
      </c>
      <c r="C177" s="919" t="s">
        <v>921</v>
      </c>
      <c r="D177" s="920"/>
      <c r="E177" s="919" t="s">
        <v>921</v>
      </c>
      <c r="F177" s="919">
        <v>1040.781573</v>
      </c>
      <c r="G177" s="920"/>
      <c r="H177" s="919" t="s">
        <v>921</v>
      </c>
      <c r="I177" s="973">
        <v>1159.398966</v>
      </c>
      <c r="J177" s="919" t="s">
        <v>921</v>
      </c>
      <c r="K177" s="919"/>
      <c r="L177" s="919">
        <v>2111.2120500000001</v>
      </c>
      <c r="M177" s="919" t="s">
        <v>921</v>
      </c>
      <c r="N177" s="973">
        <v>2520.0576860000001</v>
      </c>
      <c r="O177" s="974">
        <v>3679.4566519999998</v>
      </c>
      <c r="P177" s="919">
        <v>3172.8975690000002</v>
      </c>
      <c r="Q177" s="919">
        <v>33.771568000000002</v>
      </c>
      <c r="R177" s="919">
        <v>94.086809000000002</v>
      </c>
      <c r="S177" s="919">
        <v>833.860545</v>
      </c>
      <c r="T177" s="974">
        <v>961.71892200000002</v>
      </c>
    </row>
    <row r="178" spans="1:20" x14ac:dyDescent="0.25">
      <c r="A178" s="939" t="s">
        <v>995</v>
      </c>
      <c r="B178" s="919"/>
      <c r="C178" s="919"/>
      <c r="D178" s="920"/>
      <c r="E178" s="919"/>
      <c r="F178" s="919"/>
      <c r="G178" s="920"/>
      <c r="H178" s="919"/>
      <c r="I178" s="973"/>
      <c r="J178" s="919"/>
      <c r="K178" s="919"/>
      <c r="L178" s="919"/>
      <c r="M178" s="919"/>
      <c r="N178" s="973"/>
      <c r="O178" s="974"/>
      <c r="P178" s="919"/>
      <c r="Q178" s="919"/>
      <c r="R178" s="919"/>
      <c r="S178" s="919"/>
      <c r="T178" s="974"/>
    </row>
    <row r="179" spans="1:20" s="948" customFormat="1" x14ac:dyDescent="0.25">
      <c r="A179" s="910" t="s">
        <v>137</v>
      </c>
      <c r="B179" s="941">
        <v>5612.2848640000002</v>
      </c>
      <c r="C179" s="941">
        <v>3591.843014</v>
      </c>
      <c r="D179" s="942"/>
      <c r="E179" s="941">
        <v>3584.4474289999998</v>
      </c>
      <c r="F179" s="941">
        <v>22439.383322000001</v>
      </c>
      <c r="G179" s="942" t="s">
        <v>921</v>
      </c>
      <c r="H179" s="941">
        <v>65.622624999999999</v>
      </c>
      <c r="I179" s="941">
        <v>35293.581253999997</v>
      </c>
      <c r="J179" s="941">
        <v>5275.4499210000004</v>
      </c>
      <c r="K179" s="941" t="s">
        <v>921</v>
      </c>
      <c r="L179" s="941">
        <v>22101.823627000002</v>
      </c>
      <c r="M179" s="941">
        <v>1427.2055769999999</v>
      </c>
      <c r="N179" s="941">
        <v>37649.823482</v>
      </c>
      <c r="O179" s="941">
        <v>72943.404735999997</v>
      </c>
      <c r="P179" s="941">
        <v>67445.756500000003</v>
      </c>
      <c r="Q179" s="941">
        <v>570.479555</v>
      </c>
      <c r="R179" s="941">
        <v>5947.2815099999998</v>
      </c>
      <c r="S179" s="941">
        <v>17507.405231000001</v>
      </c>
      <c r="T179" s="941">
        <v>24025.166295999999</v>
      </c>
    </row>
    <row r="180" spans="1:20" s="948" customFormat="1" x14ac:dyDescent="0.25">
      <c r="A180" s="960" t="s">
        <v>996</v>
      </c>
      <c r="B180" s="930">
        <v>11655.580400000001</v>
      </c>
      <c r="C180" s="930">
        <v>12450.719381000001</v>
      </c>
      <c r="D180" s="931">
        <v>424.80228199999999</v>
      </c>
      <c r="E180" s="930">
        <v>9023.0444889999999</v>
      </c>
      <c r="F180" s="930">
        <v>28717.214033</v>
      </c>
      <c r="G180" s="931" t="s">
        <v>921</v>
      </c>
      <c r="H180" s="930">
        <v>2429.1246649999998</v>
      </c>
      <c r="I180" s="930">
        <v>64275.682968000001</v>
      </c>
      <c r="J180" s="930">
        <v>11998.211272</v>
      </c>
      <c r="K180" s="930">
        <v>11324.705647000001</v>
      </c>
      <c r="L180" s="930">
        <v>28731.372309999999</v>
      </c>
      <c r="M180" s="930">
        <v>1470.1429659999999</v>
      </c>
      <c r="N180" s="930">
        <v>53524.432195000001</v>
      </c>
      <c r="O180" s="930">
        <v>117800.11516299999</v>
      </c>
      <c r="P180" s="930">
        <v>104901.64794</v>
      </c>
      <c r="Q180" s="930">
        <v>7732.5170209999997</v>
      </c>
      <c r="R180" s="930">
        <v>17872.680762</v>
      </c>
      <c r="S180" s="930">
        <v>30468.707072000001</v>
      </c>
      <c r="T180" s="930">
        <v>56073.904855000001</v>
      </c>
    </row>
    <row r="183" spans="1:20" ht="18.75" x14ac:dyDescent="0.25">
      <c r="A183" s="1056" t="s">
        <v>1001</v>
      </c>
      <c r="B183" s="1057"/>
      <c r="C183" s="1057"/>
      <c r="D183" s="1057"/>
      <c r="E183" s="1057"/>
      <c r="F183" s="1057"/>
      <c r="G183" s="1057"/>
      <c r="H183" s="1057"/>
      <c r="I183" s="1057"/>
      <c r="J183" s="1057"/>
      <c r="K183" s="1057"/>
      <c r="L183" s="1057"/>
      <c r="M183" s="1057"/>
      <c r="N183" s="1057"/>
      <c r="O183" s="1057"/>
      <c r="P183" s="1057"/>
      <c r="Q183" s="1057"/>
      <c r="R183" s="1057"/>
      <c r="S183" s="1057"/>
      <c r="T183" s="1058"/>
    </row>
    <row r="184" spans="1:20" s="909" customFormat="1" x14ac:dyDescent="0.25">
      <c r="A184" s="1059" t="s">
        <v>493</v>
      </c>
      <c r="B184" s="1061" t="s">
        <v>906</v>
      </c>
      <c r="C184" s="1062"/>
      <c r="D184" s="1062"/>
      <c r="E184" s="1062"/>
      <c r="F184" s="1062"/>
      <c r="G184" s="1062"/>
      <c r="H184" s="1062"/>
      <c r="I184" s="1063"/>
      <c r="J184" s="1064" t="s">
        <v>907</v>
      </c>
      <c r="K184" s="1065"/>
      <c r="L184" s="1065"/>
      <c r="M184" s="1065"/>
      <c r="N184" s="1066"/>
      <c r="O184" s="1067" t="s">
        <v>908</v>
      </c>
      <c r="P184" s="1068"/>
      <c r="Q184" s="1068"/>
      <c r="R184" s="1068"/>
      <c r="S184" s="1068"/>
      <c r="T184" s="1069"/>
    </row>
    <row r="185" spans="1:20" ht="60" x14ac:dyDescent="0.25">
      <c r="A185" s="1060"/>
      <c r="B185" s="951" t="s">
        <v>909</v>
      </c>
      <c r="C185" s="951" t="s">
        <v>882</v>
      </c>
      <c r="D185" s="951" t="s">
        <v>910</v>
      </c>
      <c r="E185" s="951" t="s">
        <v>883</v>
      </c>
      <c r="F185" s="951" t="s">
        <v>911</v>
      </c>
      <c r="G185" s="951" t="s">
        <v>912</v>
      </c>
      <c r="H185" s="951" t="s">
        <v>913</v>
      </c>
      <c r="I185" s="951" t="s">
        <v>914</v>
      </c>
      <c r="J185" s="952" t="s">
        <v>640</v>
      </c>
      <c r="K185" s="952" t="s">
        <v>882</v>
      </c>
      <c r="L185" s="952" t="s">
        <v>885</v>
      </c>
      <c r="M185" s="952" t="s">
        <v>913</v>
      </c>
      <c r="N185" s="952" t="s">
        <v>915</v>
      </c>
      <c r="O185" s="953" t="s">
        <v>139</v>
      </c>
      <c r="P185" s="953" t="s">
        <v>916</v>
      </c>
      <c r="Q185" s="953" t="s">
        <v>917</v>
      </c>
      <c r="R185" s="953" t="s">
        <v>918</v>
      </c>
      <c r="S185" s="953" t="s">
        <v>919</v>
      </c>
      <c r="T185" s="953" t="s">
        <v>920</v>
      </c>
    </row>
    <row r="186" spans="1:20" x14ac:dyDescent="0.25">
      <c r="A186" s="954" t="s">
        <v>1003</v>
      </c>
      <c r="B186" s="919">
        <v>4881.4469120000003</v>
      </c>
      <c r="C186" s="919">
        <v>7008.8770860000004</v>
      </c>
      <c r="D186" s="920">
        <v>375.48286899999999</v>
      </c>
      <c r="E186" s="919">
        <v>3403.1563639999999</v>
      </c>
      <c r="F186" s="919">
        <v>3973.0124409999999</v>
      </c>
      <c r="G186" s="920" t="s">
        <v>921</v>
      </c>
      <c r="H186" s="919">
        <v>1717.507701</v>
      </c>
      <c r="I186" s="955">
        <v>20984.000504</v>
      </c>
      <c r="J186" s="919">
        <v>6604.2289840000003</v>
      </c>
      <c r="K186" s="919">
        <v>2132.0268510000001</v>
      </c>
      <c r="L186" s="919">
        <v>6629.548683</v>
      </c>
      <c r="M186" s="919" t="s">
        <v>921</v>
      </c>
      <c r="N186" s="955">
        <v>15369.708977</v>
      </c>
      <c r="O186" s="955">
        <v>36353.709480999998</v>
      </c>
      <c r="P186" s="919">
        <v>29903.248216</v>
      </c>
      <c r="Q186" s="919">
        <v>6656.8074550000001</v>
      </c>
      <c r="R186" s="919">
        <v>8062.7009509999998</v>
      </c>
      <c r="S186" s="919">
        <v>9433.6000399999994</v>
      </c>
      <c r="T186" s="955">
        <v>24153.108445999998</v>
      </c>
    </row>
    <row r="187" spans="1:20" x14ac:dyDescent="0.25">
      <c r="A187" s="954" t="s">
        <v>1004</v>
      </c>
      <c r="B187" s="919"/>
      <c r="C187" s="919"/>
      <c r="D187" s="920"/>
      <c r="E187" s="919"/>
      <c r="F187" s="919"/>
      <c r="G187" s="920"/>
      <c r="H187" s="919"/>
      <c r="I187" s="955"/>
      <c r="J187" s="919"/>
      <c r="K187" s="919"/>
      <c r="L187" s="919"/>
      <c r="M187" s="919"/>
      <c r="N187" s="955"/>
      <c r="O187" s="955"/>
      <c r="P187" s="919"/>
      <c r="Q187" s="919"/>
      <c r="R187" s="919"/>
      <c r="S187" s="919"/>
      <c r="T187" s="955"/>
    </row>
    <row r="188" spans="1:20" x14ac:dyDescent="0.25">
      <c r="A188" s="954" t="s">
        <v>1005</v>
      </c>
      <c r="B188" s="919">
        <v>577.89704900000004</v>
      </c>
      <c r="C188" s="919">
        <v>1680.9955199999999</v>
      </c>
      <c r="D188" s="920"/>
      <c r="E188" s="919">
        <v>1776.752405</v>
      </c>
      <c r="F188" s="919">
        <v>2125.9089220000001</v>
      </c>
      <c r="G188" s="920"/>
      <c r="H188" s="919">
        <v>581.69247800000005</v>
      </c>
      <c r="I188" s="955">
        <v>6743.2463740000003</v>
      </c>
      <c r="J188" s="919">
        <v>118.53236699999999</v>
      </c>
      <c r="K188" s="919" t="s">
        <v>921</v>
      </c>
      <c r="L188" s="919"/>
      <c r="M188" s="919" t="s">
        <v>921</v>
      </c>
      <c r="N188" s="955">
        <v>504.89973600000002</v>
      </c>
      <c r="O188" s="955">
        <v>7248.1461099999997</v>
      </c>
      <c r="P188" s="919">
        <v>6875.9889009999997</v>
      </c>
      <c r="Q188" s="919">
        <v>263.63932399999999</v>
      </c>
      <c r="R188" s="919">
        <v>3230.7633799999999</v>
      </c>
      <c r="S188" s="919">
        <v>3146.3725730000001</v>
      </c>
      <c r="T188" s="955">
        <v>6640.7752769999997</v>
      </c>
    </row>
    <row r="189" spans="1:20" x14ac:dyDescent="0.25">
      <c r="A189" s="975" t="s">
        <v>1006</v>
      </c>
      <c r="B189" s="919">
        <v>190.35553200000001</v>
      </c>
      <c r="C189" s="919"/>
      <c r="D189" s="920"/>
      <c r="E189" s="919">
        <v>40.715254000000002</v>
      </c>
      <c r="F189" s="919"/>
      <c r="G189" s="920"/>
      <c r="H189" s="919">
        <v>7.3379190000000003</v>
      </c>
      <c r="I189" s="955">
        <v>238.408705</v>
      </c>
      <c r="J189" s="919"/>
      <c r="K189" s="919"/>
      <c r="L189" s="919"/>
      <c r="M189" s="919"/>
      <c r="N189" s="955"/>
      <c r="O189" s="955">
        <v>238.408705</v>
      </c>
      <c r="P189" s="919">
        <v>168.79210599999999</v>
      </c>
      <c r="Q189" s="919">
        <v>104.014808</v>
      </c>
      <c r="R189" s="919" t="s">
        <v>921</v>
      </c>
      <c r="S189" s="919"/>
      <c r="T189" s="955">
        <v>238.408705</v>
      </c>
    </row>
    <row r="190" spans="1:20" x14ac:dyDescent="0.25">
      <c r="A190" s="975" t="s">
        <v>1007</v>
      </c>
      <c r="B190" s="919">
        <v>393.59604300000001</v>
      </c>
      <c r="C190" s="919" t="s">
        <v>921</v>
      </c>
      <c r="D190" s="920" t="s">
        <v>921</v>
      </c>
      <c r="E190" s="919">
        <v>217.97303700000001</v>
      </c>
      <c r="F190" s="919">
        <v>178.90934799999999</v>
      </c>
      <c r="G190" s="920"/>
      <c r="H190" s="919">
        <v>56.963942000000003</v>
      </c>
      <c r="I190" s="955">
        <v>1016.446131</v>
      </c>
      <c r="J190" s="919"/>
      <c r="K190" s="919"/>
      <c r="L190" s="919"/>
      <c r="M190" s="919"/>
      <c r="N190" s="955"/>
      <c r="O190" s="955">
        <v>1016.446131</v>
      </c>
      <c r="P190" s="919">
        <v>507.86221699999999</v>
      </c>
      <c r="Q190" s="919">
        <v>137.57587899999999</v>
      </c>
      <c r="R190" s="919">
        <v>497.54102399999999</v>
      </c>
      <c r="S190" s="919">
        <v>381.329228</v>
      </c>
      <c r="T190" s="955">
        <v>1016.446131</v>
      </c>
    </row>
    <row r="191" spans="1:20" x14ac:dyDescent="0.25">
      <c r="A191" s="954" t="s">
        <v>1000</v>
      </c>
      <c r="B191" s="919"/>
      <c r="C191" s="919"/>
      <c r="D191" s="920"/>
      <c r="E191" s="919"/>
      <c r="F191" s="919"/>
      <c r="G191" s="920"/>
      <c r="H191" s="919"/>
      <c r="I191" s="955"/>
      <c r="J191" s="919"/>
      <c r="K191" s="919"/>
      <c r="L191" s="919"/>
      <c r="M191" s="919"/>
      <c r="N191" s="955"/>
      <c r="O191" s="955"/>
      <c r="P191" s="919"/>
      <c r="Q191" s="919"/>
      <c r="R191" s="919"/>
      <c r="S191" s="919"/>
      <c r="T191" s="955"/>
    </row>
    <row r="192" spans="1:20" s="948" customFormat="1" x14ac:dyDescent="0.25">
      <c r="A192" s="957" t="s">
        <v>116</v>
      </c>
      <c r="B192" s="941">
        <v>6043.2955359999996</v>
      </c>
      <c r="C192" s="941">
        <v>8858.8763670000008</v>
      </c>
      <c r="D192" s="942">
        <v>424.80228199999999</v>
      </c>
      <c r="E192" s="941">
        <v>5438.5970600000001</v>
      </c>
      <c r="F192" s="941">
        <v>6277.8307109999996</v>
      </c>
      <c r="G192" s="942" t="s">
        <v>921</v>
      </c>
      <c r="H192" s="941">
        <v>2363.5020399999999</v>
      </c>
      <c r="I192" s="958">
        <v>28982.101714</v>
      </c>
      <c r="J192" s="941">
        <v>6722.7613510000001</v>
      </c>
      <c r="K192" s="941">
        <v>2479.3612899999998</v>
      </c>
      <c r="L192" s="941">
        <v>6629.548683</v>
      </c>
      <c r="M192" s="941" t="s">
        <v>921</v>
      </c>
      <c r="N192" s="958">
        <v>15874.608713</v>
      </c>
      <c r="O192" s="958">
        <v>44856.710426999998</v>
      </c>
      <c r="P192" s="941">
        <v>37455.891439999999</v>
      </c>
      <c r="Q192" s="941">
        <v>7162.0374659999998</v>
      </c>
      <c r="R192" s="941">
        <v>11925.399251999999</v>
      </c>
      <c r="S192" s="941">
        <v>12961.301841</v>
      </c>
      <c r="T192" s="958">
        <v>32048.738559000001</v>
      </c>
    </row>
    <row r="193" spans="1:20" x14ac:dyDescent="0.25">
      <c r="A193" s="954" t="s">
        <v>1008</v>
      </c>
      <c r="B193" s="919">
        <v>4519.9770909999997</v>
      </c>
      <c r="C193" s="919">
        <v>2407.5519570000001</v>
      </c>
      <c r="D193" s="920"/>
      <c r="E193" s="919">
        <v>3000.3365509999999</v>
      </c>
      <c r="F193" s="919">
        <v>20107.466144999999</v>
      </c>
      <c r="G193" s="920"/>
      <c r="H193" s="919">
        <v>40.347833999999999</v>
      </c>
      <c r="I193" s="955">
        <v>30075.679577999999</v>
      </c>
      <c r="J193" s="919">
        <v>4109.5818280000003</v>
      </c>
      <c r="K193" s="919" t="s">
        <v>921</v>
      </c>
      <c r="L193" s="919">
        <v>17772.734451</v>
      </c>
      <c r="M193" s="919">
        <v>1427.2055769999999</v>
      </c>
      <c r="N193" s="955">
        <v>32154.866213000001</v>
      </c>
      <c r="O193" s="955">
        <v>62230.545790999997</v>
      </c>
      <c r="P193" s="919">
        <v>57497.062955000001</v>
      </c>
      <c r="Q193" s="919">
        <v>530.88845300000003</v>
      </c>
      <c r="R193" s="919">
        <v>5867.0303489999997</v>
      </c>
      <c r="S193" s="919">
        <v>14810.380348999999</v>
      </c>
      <c r="T193" s="955">
        <v>21208.299150999999</v>
      </c>
    </row>
    <row r="194" spans="1:20" x14ac:dyDescent="0.25">
      <c r="A194" s="975" t="s">
        <v>1009</v>
      </c>
      <c r="B194" s="919"/>
      <c r="C194" s="919"/>
      <c r="D194" s="920"/>
      <c r="E194" s="919"/>
      <c r="F194" s="919"/>
      <c r="G194" s="920"/>
      <c r="H194" s="919"/>
      <c r="I194" s="955"/>
      <c r="J194" s="919"/>
      <c r="K194" s="919"/>
      <c r="L194" s="919"/>
      <c r="M194" s="919"/>
      <c r="N194" s="955"/>
      <c r="O194" s="955"/>
      <c r="P194" s="919"/>
      <c r="Q194" s="919"/>
      <c r="R194" s="919"/>
      <c r="S194" s="919"/>
      <c r="T194" s="955"/>
    </row>
    <row r="195" spans="1:20" x14ac:dyDescent="0.25">
      <c r="A195" s="975" t="s">
        <v>1010</v>
      </c>
      <c r="B195" s="919">
        <v>1025.324271</v>
      </c>
      <c r="C195" s="919" t="s">
        <v>921</v>
      </c>
      <c r="D195" s="920"/>
      <c r="E195" s="919">
        <v>549.10863400000005</v>
      </c>
      <c r="F195" s="919">
        <v>2329.9366409999998</v>
      </c>
      <c r="G195" s="920" t="s">
        <v>921</v>
      </c>
      <c r="H195" s="919">
        <v>25.274791</v>
      </c>
      <c r="I195" s="955">
        <v>5113.9353940000001</v>
      </c>
      <c r="J195" s="919" t="s">
        <v>921</v>
      </c>
      <c r="K195" s="919"/>
      <c r="L195" s="919">
        <v>4329.0891760000004</v>
      </c>
      <c r="M195" s="919"/>
      <c r="N195" s="955">
        <v>5494.9572690000005</v>
      </c>
      <c r="O195" s="955">
        <v>10608.892663000001</v>
      </c>
      <c r="P195" s="919">
        <v>9862.6024880000004</v>
      </c>
      <c r="Q195" s="919" t="s">
        <v>921</v>
      </c>
      <c r="R195" s="919" t="s">
        <v>921</v>
      </c>
      <c r="S195" s="919">
        <v>2697.0248820000002</v>
      </c>
      <c r="T195" s="955">
        <v>2754.7415080000001</v>
      </c>
    </row>
    <row r="196" spans="1:20" x14ac:dyDescent="0.25">
      <c r="A196" s="954" t="s">
        <v>1011</v>
      </c>
      <c r="B196" s="919">
        <v>25.142856999999999</v>
      </c>
      <c r="C196" s="919"/>
      <c r="D196" s="920"/>
      <c r="E196" s="919" t="s">
        <v>921</v>
      </c>
      <c r="F196" s="919"/>
      <c r="G196" s="920"/>
      <c r="H196" s="919"/>
      <c r="I196" s="955">
        <v>60.145100999999997</v>
      </c>
      <c r="J196" s="919"/>
      <c r="K196" s="919"/>
      <c r="L196" s="919"/>
      <c r="M196" s="919"/>
      <c r="N196" s="955"/>
      <c r="O196" s="955">
        <v>60.145100999999997</v>
      </c>
      <c r="P196" s="919" t="s">
        <v>921</v>
      </c>
      <c r="Q196" s="919" t="s">
        <v>921</v>
      </c>
      <c r="R196" s="919">
        <v>22.566454</v>
      </c>
      <c r="S196" s="919"/>
      <c r="T196" s="955">
        <v>60.145100999999997</v>
      </c>
    </row>
    <row r="197" spans="1:20" x14ac:dyDescent="0.25">
      <c r="A197" s="954" t="s">
        <v>1012</v>
      </c>
      <c r="B197" s="919" t="s">
        <v>921</v>
      </c>
      <c r="C197" s="919"/>
      <c r="D197" s="920"/>
      <c r="E197" s="919"/>
      <c r="F197" s="919" t="s">
        <v>921</v>
      </c>
      <c r="G197" s="920"/>
      <c r="H197" s="919"/>
      <c r="I197" s="955" t="s">
        <v>921</v>
      </c>
      <c r="J197" s="919"/>
      <c r="K197" s="919"/>
      <c r="L197" s="919"/>
      <c r="M197" s="919"/>
      <c r="N197" s="955"/>
      <c r="O197" s="955" t="s">
        <v>921</v>
      </c>
      <c r="P197" s="919" t="s">
        <v>921</v>
      </c>
      <c r="Q197" s="919" t="s">
        <v>921</v>
      </c>
      <c r="R197" s="919"/>
      <c r="S197" s="919"/>
      <c r="T197" s="955" t="s">
        <v>921</v>
      </c>
    </row>
    <row r="198" spans="1:20" x14ac:dyDescent="0.25">
      <c r="A198" s="954" t="s">
        <v>1013</v>
      </c>
      <c r="B198" s="919">
        <v>33.681089999999998</v>
      </c>
      <c r="C198" s="919"/>
      <c r="D198" s="920"/>
      <c r="E198" s="919"/>
      <c r="F198" s="919"/>
      <c r="G198" s="920"/>
      <c r="H198" s="919"/>
      <c r="I198" s="955">
        <v>33.681089999999998</v>
      </c>
      <c r="J198" s="919"/>
      <c r="K198" s="919"/>
      <c r="L198" s="919"/>
      <c r="M198" s="919"/>
      <c r="N198" s="955"/>
      <c r="O198" s="955">
        <v>33.681089999999998</v>
      </c>
      <c r="P198" s="919">
        <v>33.681089999999998</v>
      </c>
      <c r="Q198" s="919"/>
      <c r="R198" s="919"/>
      <c r="S198" s="919"/>
      <c r="T198" s="955"/>
    </row>
    <row r="199" spans="1:20" s="948" customFormat="1" x14ac:dyDescent="0.25">
      <c r="A199" s="957" t="s">
        <v>137</v>
      </c>
      <c r="B199" s="941">
        <v>5612.2848640000002</v>
      </c>
      <c r="C199" s="941">
        <v>3591.843014</v>
      </c>
      <c r="D199" s="942"/>
      <c r="E199" s="941">
        <v>3584.4474289999998</v>
      </c>
      <c r="F199" s="941">
        <v>22439.383322000001</v>
      </c>
      <c r="G199" s="942" t="s">
        <v>921</v>
      </c>
      <c r="H199" s="941">
        <v>65.622624999999999</v>
      </c>
      <c r="I199" s="958">
        <v>35293.581253999997</v>
      </c>
      <c r="J199" s="941">
        <v>5275.4499210000004</v>
      </c>
      <c r="K199" s="941" t="s">
        <v>921</v>
      </c>
      <c r="L199" s="941">
        <v>22101.823627000002</v>
      </c>
      <c r="M199" s="941">
        <v>1427.2055769999999</v>
      </c>
      <c r="N199" s="958">
        <v>37649.823482</v>
      </c>
      <c r="O199" s="958">
        <v>72943.404735999997</v>
      </c>
      <c r="P199" s="941">
        <v>67445.756500000003</v>
      </c>
      <c r="Q199" s="941">
        <v>570.479555</v>
      </c>
      <c r="R199" s="941">
        <v>5947.2815099999998</v>
      </c>
      <c r="S199" s="941">
        <v>17507.405231000001</v>
      </c>
      <c r="T199" s="958">
        <v>24025.166295999999</v>
      </c>
    </row>
    <row r="200" spans="1:20" s="948" customFormat="1" x14ac:dyDescent="0.25">
      <c r="A200" s="960" t="s">
        <v>996</v>
      </c>
      <c r="B200" s="961">
        <v>11655.580400000001</v>
      </c>
      <c r="C200" s="961">
        <v>12450.719381000001</v>
      </c>
      <c r="D200" s="976">
        <v>424.80228199999999</v>
      </c>
      <c r="E200" s="961">
        <v>9023.0444889999999</v>
      </c>
      <c r="F200" s="961">
        <v>28717.214033</v>
      </c>
      <c r="G200" s="976" t="s">
        <v>921</v>
      </c>
      <c r="H200" s="961">
        <v>2429.1246649999998</v>
      </c>
      <c r="I200" s="961">
        <v>64275.682968000001</v>
      </c>
      <c r="J200" s="961">
        <v>11998.211272</v>
      </c>
      <c r="K200" s="961">
        <v>11324.705647000001</v>
      </c>
      <c r="L200" s="961">
        <v>28731.372309999999</v>
      </c>
      <c r="M200" s="961">
        <v>1470.1429659999999</v>
      </c>
      <c r="N200" s="961">
        <v>53524.432195000001</v>
      </c>
      <c r="O200" s="961">
        <v>117800.11516299999</v>
      </c>
      <c r="P200" s="961">
        <v>104901.64794</v>
      </c>
      <c r="Q200" s="961">
        <v>7732.5170209999997</v>
      </c>
      <c r="R200" s="961">
        <v>17872.680762</v>
      </c>
      <c r="S200" s="961">
        <v>30468.707072000001</v>
      </c>
      <c r="T200" s="961">
        <v>56073.904855000001</v>
      </c>
    </row>
  </sheetData>
  <mergeCells count="20">
    <mergeCell ref="A100:A101"/>
    <mergeCell ref="B100:I100"/>
    <mergeCell ref="J100:N100"/>
    <mergeCell ref="O100:T100"/>
    <mergeCell ref="A1:T1"/>
    <mergeCell ref="A2:A3"/>
    <mergeCell ref="B2:I2"/>
    <mergeCell ref="J2:N2"/>
    <mergeCell ref="O2:T2"/>
    <mergeCell ref="A87:T87"/>
    <mergeCell ref="A88:A89"/>
    <mergeCell ref="B88:I88"/>
    <mergeCell ref="J88:N88"/>
    <mergeCell ref="O88:T88"/>
    <mergeCell ref="A99:T99"/>
    <mergeCell ref="A183:T183"/>
    <mergeCell ref="A184:A185"/>
    <mergeCell ref="B184:I184"/>
    <mergeCell ref="J184:N184"/>
    <mergeCell ref="O184:T184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/>
  </sheetPr>
  <dimension ref="A1:Q83"/>
  <sheetViews>
    <sheetView topLeftCell="F58" workbookViewId="0">
      <selection sqref="A1:Q1"/>
    </sheetView>
  </sheetViews>
  <sheetFormatPr defaultRowHeight="15" x14ac:dyDescent="0.25"/>
  <cols>
    <col min="1" max="1" width="62.140625" style="905" bestFit="1" customWidth="1"/>
    <col min="2" max="17" width="26.28515625" style="905" customWidth="1"/>
    <col min="18" max="16384" width="9.140625" style="905"/>
  </cols>
  <sheetData>
    <row r="1" spans="1:17" ht="30.75" customHeight="1" x14ac:dyDescent="0.25">
      <c r="A1" s="1071" t="s">
        <v>1021</v>
      </c>
      <c r="B1" s="1072"/>
      <c r="C1" s="1072"/>
      <c r="D1" s="1072"/>
      <c r="E1" s="1072"/>
      <c r="F1" s="1072"/>
      <c r="G1" s="1072"/>
      <c r="H1" s="1072"/>
      <c r="I1" s="1072"/>
      <c r="J1" s="1072"/>
      <c r="K1" s="1072"/>
      <c r="L1" s="1072"/>
      <c r="M1" s="1072"/>
      <c r="N1" s="1072"/>
      <c r="O1" s="1072"/>
      <c r="P1" s="1072"/>
      <c r="Q1" s="1072"/>
    </row>
    <row r="2" spans="1:17" ht="28.9" customHeight="1" x14ac:dyDescent="0.25">
      <c r="A2" s="1005" t="s">
        <v>493</v>
      </c>
      <c r="B2" s="1006" t="s">
        <v>1022</v>
      </c>
      <c r="C2" s="1006" t="s">
        <v>1023</v>
      </c>
      <c r="D2" s="1006" t="s">
        <v>1024</v>
      </c>
      <c r="E2" s="1006" t="s">
        <v>1025</v>
      </c>
      <c r="F2" s="1006" t="s">
        <v>1026</v>
      </c>
      <c r="G2" s="1006" t="s">
        <v>1027</v>
      </c>
      <c r="H2" s="1007" t="s">
        <v>1028</v>
      </c>
      <c r="I2" s="1007" t="s">
        <v>1029</v>
      </c>
      <c r="J2" s="1007" t="s">
        <v>1030</v>
      </c>
      <c r="K2" s="1007" t="s">
        <v>1031</v>
      </c>
      <c r="L2" s="1007" t="s">
        <v>1032</v>
      </c>
      <c r="M2" s="1008" t="s">
        <v>139</v>
      </c>
      <c r="N2" s="1008" t="s">
        <v>917</v>
      </c>
      <c r="O2" s="1008" t="s">
        <v>918</v>
      </c>
      <c r="P2" s="1008" t="s">
        <v>919</v>
      </c>
      <c r="Q2" s="1008" t="s">
        <v>920</v>
      </c>
    </row>
    <row r="3" spans="1:17" x14ac:dyDescent="0.25">
      <c r="A3" s="910" t="s">
        <v>110</v>
      </c>
      <c r="B3" s="924">
        <v>9.5403150542812565</v>
      </c>
      <c r="C3" s="924">
        <v>8.3871290562704051</v>
      </c>
      <c r="D3" s="924">
        <v>8.3711259202524673</v>
      </c>
      <c r="E3" s="924">
        <v>8.478356680035116</v>
      </c>
      <c r="F3" s="924">
        <v>10.35201275366447</v>
      </c>
      <c r="G3" s="924">
        <v>9.253887451221674</v>
      </c>
      <c r="H3" s="924">
        <v>5.3601896245072664</v>
      </c>
      <c r="I3" s="924">
        <v>4.2918728552580356</v>
      </c>
      <c r="J3" s="924">
        <v>4.4066290539748838</v>
      </c>
      <c r="K3" s="924">
        <v>5.5387467576710314</v>
      </c>
      <c r="L3" s="924">
        <v>5.1635246620093422</v>
      </c>
      <c r="M3" s="924">
        <v>7.9460883677342862</v>
      </c>
      <c r="N3" s="924">
        <v>9.587265226139861</v>
      </c>
      <c r="O3" s="924">
        <v>7.1307492522546756</v>
      </c>
      <c r="P3" s="924">
        <v>6.4360017874299036</v>
      </c>
      <c r="Q3" s="924">
        <v>8.1085536131383869</v>
      </c>
    </row>
    <row r="4" spans="1:17" x14ac:dyDescent="0.25">
      <c r="A4" s="917" t="s">
        <v>922</v>
      </c>
      <c r="B4" s="919">
        <v>9.5673334785105677</v>
      </c>
      <c r="C4" s="919">
        <v>8.3784681550314826</v>
      </c>
      <c r="D4" s="919">
        <v>8.3644109654348675</v>
      </c>
      <c r="E4" s="919">
        <v>8.4916310991671633</v>
      </c>
      <c r="F4" s="919">
        <v>10.3586183569039</v>
      </c>
      <c r="G4" s="1009">
        <v>9.2635096474786991</v>
      </c>
      <c r="H4" s="919">
        <v>5.3419422493940374</v>
      </c>
      <c r="I4" s="919">
        <v>4.2918728552580356</v>
      </c>
      <c r="J4" s="919">
        <v>4.4007167066917194</v>
      </c>
      <c r="K4" s="919">
        <v>5.5387467576710314</v>
      </c>
      <c r="L4" s="1009">
        <v>5.1427019824094833</v>
      </c>
      <c r="M4" s="965">
        <v>7.9706897089170434</v>
      </c>
      <c r="N4" s="919">
        <v>9.7306513069140088</v>
      </c>
      <c r="O4" s="919">
        <v>7.1341279962162503</v>
      </c>
      <c r="P4" s="919">
        <v>6.4360017874299036</v>
      </c>
      <c r="Q4" s="965">
        <v>8.1419680177064979</v>
      </c>
    </row>
    <row r="5" spans="1:17" x14ac:dyDescent="0.25">
      <c r="A5" s="917" t="s">
        <v>923</v>
      </c>
      <c r="B5" s="919" t="s">
        <v>921</v>
      </c>
      <c r="C5" s="919"/>
      <c r="D5" s="919"/>
      <c r="E5" s="919"/>
      <c r="F5" s="919" t="s">
        <v>921</v>
      </c>
      <c r="G5" s="1009" t="s">
        <v>921</v>
      </c>
      <c r="H5" s="919"/>
      <c r="I5" s="919"/>
      <c r="J5" s="919"/>
      <c r="K5" s="919"/>
      <c r="L5" s="1009"/>
      <c r="M5" s="965" t="s">
        <v>921</v>
      </c>
      <c r="N5" s="919" t="s">
        <v>921</v>
      </c>
      <c r="O5" s="919"/>
      <c r="P5" s="919"/>
      <c r="Q5" s="965" t="s">
        <v>921</v>
      </c>
    </row>
    <row r="6" spans="1:17" x14ac:dyDescent="0.25">
      <c r="A6" s="917" t="s">
        <v>924</v>
      </c>
      <c r="B6" s="919"/>
      <c r="C6" s="919"/>
      <c r="D6" s="919"/>
      <c r="E6" s="919"/>
      <c r="F6" s="919"/>
      <c r="G6" s="1009"/>
      <c r="H6" s="919"/>
      <c r="I6" s="919"/>
      <c r="J6" s="919"/>
      <c r="K6" s="919"/>
      <c r="L6" s="1009"/>
      <c r="M6" s="965"/>
      <c r="N6" s="919"/>
      <c r="O6" s="919"/>
      <c r="P6" s="919"/>
      <c r="Q6" s="965"/>
    </row>
    <row r="7" spans="1:17" x14ac:dyDescent="0.25">
      <c r="A7" s="917" t="s">
        <v>925</v>
      </c>
      <c r="B7" s="919">
        <v>7.6410719176181097</v>
      </c>
      <c r="C7" s="919" t="s">
        <v>921</v>
      </c>
      <c r="D7" s="919">
        <v>10.68601209076167</v>
      </c>
      <c r="E7" s="919" t="s">
        <v>921</v>
      </c>
      <c r="F7" s="919">
        <v>12.861372310187781</v>
      </c>
      <c r="G7" s="1009">
        <v>9.4783975325272003</v>
      </c>
      <c r="H7" s="919"/>
      <c r="I7" s="919"/>
      <c r="J7" s="919"/>
      <c r="K7" s="919"/>
      <c r="L7" s="1009"/>
      <c r="M7" s="965">
        <v>9.4783975325272003</v>
      </c>
      <c r="N7" s="919">
        <v>9.4577966120816122</v>
      </c>
      <c r="O7" s="919"/>
      <c r="P7" s="919"/>
      <c r="Q7" s="965">
        <v>9.4577966120816122</v>
      </c>
    </row>
    <row r="8" spans="1:17" x14ac:dyDescent="0.25">
      <c r="A8" s="917" t="s">
        <v>926</v>
      </c>
      <c r="B8" s="919"/>
      <c r="C8" s="919"/>
      <c r="D8" s="919"/>
      <c r="E8" s="919"/>
      <c r="F8" s="919"/>
      <c r="G8" s="1009"/>
      <c r="H8" s="919"/>
      <c r="I8" s="919"/>
      <c r="J8" s="919"/>
      <c r="K8" s="919"/>
      <c r="L8" s="1009"/>
      <c r="M8" s="965"/>
      <c r="N8" s="919"/>
      <c r="O8" s="919"/>
      <c r="P8" s="919"/>
      <c r="Q8" s="965"/>
    </row>
    <row r="9" spans="1:17" x14ac:dyDescent="0.25">
      <c r="A9" s="917" t="s">
        <v>927</v>
      </c>
      <c r="B9" s="919">
        <v>8.5662150129711758</v>
      </c>
      <c r="C9" s="919">
        <v>10.22582098488763</v>
      </c>
      <c r="D9" s="919">
        <v>7.7294032638249277</v>
      </c>
      <c r="E9" s="919">
        <v>7.7721546833876243</v>
      </c>
      <c r="F9" s="919">
        <v>9.61953288846472</v>
      </c>
      <c r="G9" s="1009">
        <v>8.6809562283022839</v>
      </c>
      <c r="H9" s="919">
        <v>5.6585199155310786</v>
      </c>
      <c r="I9" s="919"/>
      <c r="J9" s="919" t="s">
        <v>921</v>
      </c>
      <c r="K9" s="919"/>
      <c r="L9" s="1009">
        <v>5.5959875827313281</v>
      </c>
      <c r="M9" s="965">
        <v>6.9569518433930826</v>
      </c>
      <c r="N9" s="919">
        <v>6.9386967251376639</v>
      </c>
      <c r="O9" s="919">
        <v>6.9683791826143384</v>
      </c>
      <c r="P9" s="919"/>
      <c r="Q9" s="965">
        <v>6.9442958807533621</v>
      </c>
    </row>
    <row r="10" spans="1:17" x14ac:dyDescent="0.25">
      <c r="A10" s="910" t="s">
        <v>928</v>
      </c>
      <c r="B10" s="924">
        <v>6.9541602335744521</v>
      </c>
      <c r="C10" s="924">
        <v>8.027706251787615</v>
      </c>
      <c r="D10" s="924">
        <v>8.1041603964085862</v>
      </c>
      <c r="E10" s="924">
        <v>8.2545657009791249</v>
      </c>
      <c r="F10" s="924">
        <v>9.6211105515908795</v>
      </c>
      <c r="G10" s="924">
        <v>7.5451510343065289</v>
      </c>
      <c r="H10" s="924">
        <v>5.0058193627054894</v>
      </c>
      <c r="I10" s="924">
        <v>4.281263941377313</v>
      </c>
      <c r="J10" s="924">
        <v>3.9695345201728429</v>
      </c>
      <c r="K10" s="924">
        <v>3.7276183720494109</v>
      </c>
      <c r="L10" s="924">
        <v>4.5596935470394211</v>
      </c>
      <c r="M10" s="924">
        <v>6.1648095746792277</v>
      </c>
      <c r="N10" s="924">
        <v>9.0371958278457907</v>
      </c>
      <c r="O10" s="924">
        <v>6.9918901873226593</v>
      </c>
      <c r="P10" s="924">
        <v>6.1269997012787174</v>
      </c>
      <c r="Q10" s="924">
        <v>6.8834276065119404</v>
      </c>
    </row>
    <row r="11" spans="1:17" x14ac:dyDescent="0.25">
      <c r="A11" s="917" t="s">
        <v>929</v>
      </c>
      <c r="B11" s="919">
        <v>7.8916921842628618</v>
      </c>
      <c r="C11" s="919">
        <v>7.6571314424515853</v>
      </c>
      <c r="D11" s="919">
        <v>8.2251755216773557</v>
      </c>
      <c r="E11" s="919">
        <v>8.2876857006540838</v>
      </c>
      <c r="F11" s="919">
        <v>9.8860930046698989</v>
      </c>
      <c r="G11" s="1009">
        <v>8.1155978133696518</v>
      </c>
      <c r="H11" s="919">
        <v>4.2774975526824406</v>
      </c>
      <c r="I11" s="919">
        <v>5.3081939316572173</v>
      </c>
      <c r="J11" s="919">
        <v>4.3422605130267176</v>
      </c>
      <c r="K11" s="919" t="s">
        <v>921</v>
      </c>
      <c r="L11" s="1009">
        <v>4.3619207500254573</v>
      </c>
      <c r="M11" s="965">
        <v>6.9500015844944807</v>
      </c>
      <c r="N11" s="919">
        <v>9.7464409032997708</v>
      </c>
      <c r="O11" s="919">
        <v>7.6606414775441092</v>
      </c>
      <c r="P11" s="919">
        <v>6.5205627517454321</v>
      </c>
      <c r="Q11" s="965">
        <v>7.0332346020572336</v>
      </c>
    </row>
    <row r="12" spans="1:17" x14ac:dyDescent="0.25">
      <c r="A12" s="917" t="s">
        <v>930</v>
      </c>
      <c r="B12" s="919">
        <v>10.42902384560708</v>
      </c>
      <c r="C12" s="919">
        <v>9.1419187538416971</v>
      </c>
      <c r="D12" s="919">
        <v>9.9900740986810312</v>
      </c>
      <c r="E12" s="919">
        <v>9.216985097544903</v>
      </c>
      <c r="F12" s="919">
        <v>10.18110450369481</v>
      </c>
      <c r="G12" s="1009">
        <v>10.01335669628482</v>
      </c>
      <c r="H12" s="919">
        <v>5.4659584061874158</v>
      </c>
      <c r="I12" s="919" t="s">
        <v>921</v>
      </c>
      <c r="J12" s="919">
        <v>4.1404544874781104</v>
      </c>
      <c r="K12" s="919" t="s">
        <v>921</v>
      </c>
      <c r="L12" s="1009">
        <v>4.5815505436088566</v>
      </c>
      <c r="M12" s="965">
        <v>6.2734988349603187</v>
      </c>
      <c r="N12" s="919">
        <v>10.18045444073524</v>
      </c>
      <c r="O12" s="919">
        <v>9.1076454295283558</v>
      </c>
      <c r="P12" s="919">
        <v>5.6657997288991826</v>
      </c>
      <c r="Q12" s="965">
        <v>7.4394130312408731</v>
      </c>
    </row>
    <row r="13" spans="1:17" x14ac:dyDescent="0.25">
      <c r="A13" s="917" t="s">
        <v>931</v>
      </c>
      <c r="B13" s="919">
        <v>10.247186653361551</v>
      </c>
      <c r="C13" s="919" t="s">
        <v>921</v>
      </c>
      <c r="D13" s="919">
        <v>10.318713363803971</v>
      </c>
      <c r="E13" s="919"/>
      <c r="F13" s="919">
        <v>11.16451898276553</v>
      </c>
      <c r="G13" s="1009">
        <v>10.474587983044</v>
      </c>
      <c r="H13" s="919" t="s">
        <v>921</v>
      </c>
      <c r="I13" s="919"/>
      <c r="J13" s="919" t="s">
        <v>921</v>
      </c>
      <c r="K13" s="919"/>
      <c r="L13" s="1009" t="s">
        <v>921</v>
      </c>
      <c r="M13" s="965">
        <v>9.9022222666749027</v>
      </c>
      <c r="N13" s="919">
        <v>10.01559937486935</v>
      </c>
      <c r="O13" s="919" t="s">
        <v>921</v>
      </c>
      <c r="P13" s="919"/>
      <c r="Q13" s="965">
        <v>10.028955329287729</v>
      </c>
    </row>
    <row r="14" spans="1:17" x14ac:dyDescent="0.25">
      <c r="A14" s="917" t="s">
        <v>932</v>
      </c>
      <c r="B14" s="919" t="s">
        <v>921</v>
      </c>
      <c r="C14" s="919"/>
      <c r="D14" s="919"/>
      <c r="E14" s="919"/>
      <c r="F14" s="919"/>
      <c r="G14" s="1009" t="s">
        <v>921</v>
      </c>
      <c r="H14" s="919"/>
      <c r="I14" s="919"/>
      <c r="J14" s="919"/>
      <c r="K14" s="919"/>
      <c r="L14" s="1009"/>
      <c r="M14" s="965" t="s">
        <v>921</v>
      </c>
      <c r="N14" s="919" t="s">
        <v>921</v>
      </c>
      <c r="O14" s="919"/>
      <c r="P14" s="919"/>
      <c r="Q14" s="965" t="s">
        <v>921</v>
      </c>
    </row>
    <row r="15" spans="1:17" x14ac:dyDescent="0.25">
      <c r="A15" s="917" t="s">
        <v>933</v>
      </c>
      <c r="B15" s="919">
        <v>9.9530552760515025</v>
      </c>
      <c r="C15" s="919">
        <v>10.08143538999102</v>
      </c>
      <c r="D15" s="919">
        <v>12.733728704257411</v>
      </c>
      <c r="E15" s="919">
        <v>8.6830441695995706</v>
      </c>
      <c r="F15" s="919">
        <v>10.32398221618163</v>
      </c>
      <c r="G15" s="1009">
        <v>9.6912169916839392</v>
      </c>
      <c r="H15" s="919" t="s">
        <v>921</v>
      </c>
      <c r="I15" s="919"/>
      <c r="J15" s="919"/>
      <c r="K15" s="919"/>
      <c r="L15" s="1009" t="s">
        <v>921</v>
      </c>
      <c r="M15" s="965">
        <v>9.4835179350916796</v>
      </c>
      <c r="N15" s="919">
        <v>9.7725698872726383</v>
      </c>
      <c r="O15" s="919">
        <v>8.5253544554600911</v>
      </c>
      <c r="P15" s="919">
        <v>8.6067680466919612</v>
      </c>
      <c r="Q15" s="965">
        <v>9.41435654826447</v>
      </c>
    </row>
    <row r="16" spans="1:17" x14ac:dyDescent="0.25">
      <c r="A16" s="917" t="s">
        <v>934</v>
      </c>
      <c r="B16" s="919">
        <v>6.4257255406340343</v>
      </c>
      <c r="C16" s="919">
        <v>8.0622537287920562</v>
      </c>
      <c r="D16" s="919">
        <v>7.9011804429250523</v>
      </c>
      <c r="E16" s="919">
        <v>8.0954392469315675</v>
      </c>
      <c r="F16" s="919">
        <v>8.61349504567937</v>
      </c>
      <c r="G16" s="1009">
        <v>6.9459485533487983</v>
      </c>
      <c r="H16" s="919">
        <v>5.5391628888050226</v>
      </c>
      <c r="I16" s="919">
        <v>4.8388123362437678</v>
      </c>
      <c r="J16" s="919">
        <v>4.4226753983069358</v>
      </c>
      <c r="K16" s="919">
        <v>3.6827050755206572</v>
      </c>
      <c r="L16" s="1009">
        <v>5.1969570839857244</v>
      </c>
      <c r="M16" s="965">
        <v>6.2533522348086494</v>
      </c>
      <c r="N16" s="919">
        <v>8.5933720282056552</v>
      </c>
      <c r="O16" s="919">
        <v>6.6195784255098058</v>
      </c>
      <c r="P16" s="919">
        <v>6.008302752695208</v>
      </c>
      <c r="Q16" s="965">
        <v>6.6940189523688796</v>
      </c>
    </row>
    <row r="17" spans="1:17" x14ac:dyDescent="0.25">
      <c r="A17" s="917" t="s">
        <v>935</v>
      </c>
      <c r="B17" s="919">
        <v>5.8307510660367923</v>
      </c>
      <c r="C17" s="919">
        <v>8.110441478635293</v>
      </c>
      <c r="D17" s="919">
        <v>7.7149440349877461</v>
      </c>
      <c r="E17" s="919">
        <v>7.9854501208769992</v>
      </c>
      <c r="F17" s="919">
        <v>9.6113067790211151</v>
      </c>
      <c r="G17" s="1009">
        <v>6.6693389143975894</v>
      </c>
      <c r="H17" s="919">
        <v>4.8528788972692078</v>
      </c>
      <c r="I17" s="919">
        <v>4.1509656570565339</v>
      </c>
      <c r="J17" s="919">
        <v>3.5700233542870539</v>
      </c>
      <c r="K17" s="919" t="s">
        <v>921</v>
      </c>
      <c r="L17" s="1009">
        <v>4.2427755618875773</v>
      </c>
      <c r="M17" s="965">
        <v>5.2909603091207886</v>
      </c>
      <c r="N17" s="919">
        <v>8.2722488166518673</v>
      </c>
      <c r="O17" s="919">
        <v>6.3060671762463656</v>
      </c>
      <c r="P17" s="919">
        <v>5.6604939392450166</v>
      </c>
      <c r="Q17" s="965">
        <v>6.3190161672236167</v>
      </c>
    </row>
    <row r="18" spans="1:17" x14ac:dyDescent="0.25">
      <c r="A18" s="917" t="s">
        <v>936</v>
      </c>
      <c r="B18" s="919"/>
      <c r="C18" s="919"/>
      <c r="D18" s="919"/>
      <c r="E18" s="919"/>
      <c r="F18" s="919"/>
      <c r="G18" s="1009"/>
      <c r="H18" s="919"/>
      <c r="I18" s="919"/>
      <c r="J18" s="919"/>
      <c r="K18" s="919"/>
      <c r="L18" s="1009"/>
      <c r="M18" s="965"/>
      <c r="N18" s="919"/>
      <c r="O18" s="919"/>
      <c r="P18" s="919"/>
      <c r="Q18" s="965"/>
    </row>
    <row r="19" spans="1:17" x14ac:dyDescent="0.25">
      <c r="A19" s="917" t="s">
        <v>937</v>
      </c>
      <c r="B19" s="919">
        <v>8.275619124170273</v>
      </c>
      <c r="C19" s="919"/>
      <c r="D19" s="919">
        <v>9.0450719034574529</v>
      </c>
      <c r="E19" s="919"/>
      <c r="F19" s="919" t="s">
        <v>921</v>
      </c>
      <c r="G19" s="1009">
        <v>8.570646823581173</v>
      </c>
      <c r="H19" s="919"/>
      <c r="I19" s="919"/>
      <c r="J19" s="919"/>
      <c r="K19" s="919"/>
      <c r="L19" s="1009"/>
      <c r="M19" s="965">
        <v>8.570646823581173</v>
      </c>
      <c r="N19" s="919">
        <v>6.6331048232384866</v>
      </c>
      <c r="O19" s="919" t="s">
        <v>921</v>
      </c>
      <c r="P19" s="919">
        <v>8.8391000000000002</v>
      </c>
      <c r="Q19" s="965">
        <v>8.570646823581173</v>
      </c>
    </row>
    <row r="20" spans="1:17" x14ac:dyDescent="0.25">
      <c r="A20" s="917" t="s">
        <v>938</v>
      </c>
      <c r="B20" s="919"/>
      <c r="C20" s="919"/>
      <c r="D20" s="919"/>
      <c r="E20" s="919"/>
      <c r="F20" s="919"/>
      <c r="G20" s="1009"/>
      <c r="H20" s="919"/>
      <c r="I20" s="919"/>
      <c r="J20" s="919"/>
      <c r="K20" s="919"/>
      <c r="L20" s="1009"/>
      <c r="M20" s="965"/>
      <c r="N20" s="919"/>
      <c r="O20" s="919"/>
      <c r="P20" s="919"/>
      <c r="Q20" s="965"/>
    </row>
    <row r="21" spans="1:17" x14ac:dyDescent="0.25">
      <c r="A21" s="917" t="s">
        <v>939</v>
      </c>
      <c r="B21" s="919">
        <v>9.7793178846294762</v>
      </c>
      <c r="C21" s="919" t="s">
        <v>921</v>
      </c>
      <c r="D21" s="919">
        <v>8.5769250622217879</v>
      </c>
      <c r="E21" s="919" t="s">
        <v>921</v>
      </c>
      <c r="F21" s="919">
        <v>9.4241444033017192</v>
      </c>
      <c r="G21" s="1009">
        <v>9.1291201058702889</v>
      </c>
      <c r="H21" s="919"/>
      <c r="I21" s="919" t="s">
        <v>921</v>
      </c>
      <c r="J21" s="919"/>
      <c r="K21" s="919"/>
      <c r="L21" s="1009" t="s">
        <v>921</v>
      </c>
      <c r="M21" s="965">
        <v>8.6231941994864094</v>
      </c>
      <c r="N21" s="919">
        <v>7.6940714739425484</v>
      </c>
      <c r="O21" s="919">
        <v>9.8611910164994558</v>
      </c>
      <c r="P21" s="919" t="s">
        <v>921</v>
      </c>
      <c r="Q21" s="965">
        <v>8.8416340702289613</v>
      </c>
    </row>
    <row r="22" spans="1:17" x14ac:dyDescent="0.25">
      <c r="A22" s="917" t="s">
        <v>940</v>
      </c>
      <c r="B22" s="977"/>
      <c r="C22" s="977"/>
      <c r="D22" s="977"/>
      <c r="E22" s="977"/>
      <c r="F22" s="977"/>
      <c r="G22" s="1009"/>
      <c r="H22" s="977"/>
      <c r="I22" s="977"/>
      <c r="J22" s="977"/>
      <c r="K22" s="977"/>
      <c r="L22" s="1009"/>
      <c r="M22" s="965"/>
      <c r="N22" s="977"/>
      <c r="O22" s="977"/>
      <c r="P22" s="977"/>
      <c r="Q22" s="965"/>
    </row>
    <row r="23" spans="1:17" x14ac:dyDescent="0.25">
      <c r="A23" s="910" t="s">
        <v>229</v>
      </c>
      <c r="B23" s="924">
        <v>8.2674751180579928</v>
      </c>
      <c r="C23" s="924">
        <v>8.4849675893907772</v>
      </c>
      <c r="D23" s="924">
        <v>9.7401667796606475</v>
      </c>
      <c r="E23" s="924">
        <v>9.1335617036039789</v>
      </c>
      <c r="F23" s="924">
        <v>10.787306041508719</v>
      </c>
      <c r="G23" s="924">
        <v>8.7091207760758973</v>
      </c>
      <c r="H23" s="924">
        <v>4.825401164410291</v>
      </c>
      <c r="I23" s="924">
        <v>5.1175943241851618</v>
      </c>
      <c r="J23" s="924">
        <v>4.7953054262095982</v>
      </c>
      <c r="K23" s="924">
        <v>5.4134750597686496</v>
      </c>
      <c r="L23" s="924">
        <v>4.8795716955379262</v>
      </c>
      <c r="M23" s="924">
        <v>7.6223638374623848</v>
      </c>
      <c r="N23" s="924">
        <v>9.0580778578128172</v>
      </c>
      <c r="O23" s="924">
        <v>8.4274417830454418</v>
      </c>
      <c r="P23" s="924">
        <v>6.6668550056903078</v>
      </c>
      <c r="Q23" s="924">
        <v>8.344535721294001</v>
      </c>
    </row>
    <row r="24" spans="1:17" x14ac:dyDescent="0.25">
      <c r="A24" s="917" t="s">
        <v>941</v>
      </c>
      <c r="B24" s="919">
        <v>7.9720264740671931</v>
      </c>
      <c r="C24" s="919">
        <v>8.3507124888838451</v>
      </c>
      <c r="D24" s="919">
        <v>9.6322662792727147</v>
      </c>
      <c r="E24" s="919">
        <v>8.8641534446575925</v>
      </c>
      <c r="F24" s="919">
        <v>10.25671145817943</v>
      </c>
      <c r="G24" s="1009">
        <v>8.2839656560912474</v>
      </c>
      <c r="H24" s="919">
        <v>4.9363929497412444</v>
      </c>
      <c r="I24" s="919">
        <v>5.1175943241851618</v>
      </c>
      <c r="J24" s="919">
        <v>4.7953040808479139</v>
      </c>
      <c r="K24" s="919">
        <v>5.4212318428278099</v>
      </c>
      <c r="L24" s="1009">
        <v>4.9505940924671146</v>
      </c>
      <c r="M24" s="965">
        <v>6.9254787163665554</v>
      </c>
      <c r="N24" s="919">
        <v>9.0374266532076497</v>
      </c>
      <c r="O24" s="919">
        <v>8.1637120709292521</v>
      </c>
      <c r="P24" s="919">
        <v>6.5153333093480006</v>
      </c>
      <c r="Q24" s="965">
        <v>7.859651668052134</v>
      </c>
    </row>
    <row r="25" spans="1:17" x14ac:dyDescent="0.25">
      <c r="A25" s="917" t="s">
        <v>942</v>
      </c>
      <c r="B25" s="919">
        <v>9.8359178278551322</v>
      </c>
      <c r="C25" s="919">
        <v>8.6955979553151508</v>
      </c>
      <c r="D25" s="919">
        <v>10.96676072262826</v>
      </c>
      <c r="E25" s="919">
        <v>9.7910166814422865</v>
      </c>
      <c r="F25" s="919">
        <v>10.132458520927649</v>
      </c>
      <c r="G25" s="1009">
        <v>9.7929292332010895</v>
      </c>
      <c r="H25" s="919">
        <v>6.3811236934798092</v>
      </c>
      <c r="I25" s="919"/>
      <c r="J25" s="919"/>
      <c r="K25" s="919">
        <v>5.3103642081416069</v>
      </c>
      <c r="L25" s="1009">
        <v>5.9259157462175196</v>
      </c>
      <c r="M25" s="965">
        <v>9.6654957898258544</v>
      </c>
      <c r="N25" s="919">
        <v>9.7626874962005719</v>
      </c>
      <c r="O25" s="919">
        <v>9.4550462973001519</v>
      </c>
      <c r="P25" s="919">
        <v>10.10189059176839</v>
      </c>
      <c r="Q25" s="965">
        <v>9.7413490789035357</v>
      </c>
    </row>
    <row r="26" spans="1:17" x14ac:dyDescent="0.25">
      <c r="A26" s="917" t="s">
        <v>943</v>
      </c>
      <c r="B26" s="919"/>
      <c r="C26" s="919"/>
      <c r="D26" s="919"/>
      <c r="E26" s="919"/>
      <c r="F26" s="919"/>
      <c r="G26" s="1009"/>
      <c r="H26" s="919"/>
      <c r="I26" s="919"/>
      <c r="J26" s="919"/>
      <c r="K26" s="919"/>
      <c r="L26" s="1009"/>
      <c r="M26" s="965"/>
      <c r="N26" s="919"/>
      <c r="O26" s="919"/>
      <c r="P26" s="919"/>
      <c r="Q26" s="965"/>
    </row>
    <row r="27" spans="1:17" x14ac:dyDescent="0.25">
      <c r="A27" s="917" t="s">
        <v>944</v>
      </c>
      <c r="B27" s="919"/>
      <c r="C27" s="919"/>
      <c r="D27" s="919"/>
      <c r="E27" s="919"/>
      <c r="F27" s="919"/>
      <c r="G27" s="1009"/>
      <c r="H27" s="919"/>
      <c r="I27" s="919"/>
      <c r="J27" s="919"/>
      <c r="K27" s="919"/>
      <c r="L27" s="1009"/>
      <c r="M27" s="965"/>
      <c r="N27" s="919"/>
      <c r="O27" s="919"/>
      <c r="P27" s="919"/>
      <c r="Q27" s="965"/>
    </row>
    <row r="28" spans="1:17" x14ac:dyDescent="0.25">
      <c r="A28" s="917" t="s">
        <v>945</v>
      </c>
      <c r="B28" s="919">
        <v>9.1917365097650467</v>
      </c>
      <c r="C28" s="919">
        <v>8.5112098282835014</v>
      </c>
      <c r="D28" s="919">
        <v>10.12335555707044</v>
      </c>
      <c r="E28" s="919">
        <v>10.02159354907918</v>
      </c>
      <c r="F28" s="919">
        <v>11.6233591636294</v>
      </c>
      <c r="G28" s="1009">
        <v>9.6398152268213071</v>
      </c>
      <c r="H28" s="919" t="s">
        <v>921</v>
      </c>
      <c r="I28" s="919"/>
      <c r="J28" s="919"/>
      <c r="K28" s="919"/>
      <c r="L28" s="1009" t="s">
        <v>921</v>
      </c>
      <c r="M28" s="965">
        <v>9.556919046402502</v>
      </c>
      <c r="N28" s="919">
        <v>9.6430309334881112</v>
      </c>
      <c r="O28" s="919">
        <v>9.3220146622412443</v>
      </c>
      <c r="P28" s="919">
        <v>10.251469955455869</v>
      </c>
      <c r="Q28" s="965">
        <v>9.5562850912016639</v>
      </c>
    </row>
    <row r="29" spans="1:17" x14ac:dyDescent="0.25">
      <c r="A29" s="917" t="s">
        <v>946</v>
      </c>
      <c r="B29" s="919">
        <v>5.5820277248784436</v>
      </c>
      <c r="C29" s="919">
        <v>10.78747043950465</v>
      </c>
      <c r="D29" s="919" t="s">
        <v>921</v>
      </c>
      <c r="E29" s="919">
        <v>9.9773490317224454</v>
      </c>
      <c r="F29" s="919">
        <v>9.5093783260437625</v>
      </c>
      <c r="G29" s="1009">
        <v>6.4133807661320619</v>
      </c>
      <c r="H29" s="919"/>
      <c r="I29" s="919"/>
      <c r="J29" s="919"/>
      <c r="K29" s="919"/>
      <c r="L29" s="1009"/>
      <c r="M29" s="965">
        <v>6.4133807661320619</v>
      </c>
      <c r="N29" s="919">
        <v>6.0716307269260659</v>
      </c>
      <c r="O29" s="919">
        <v>9.9247999999999994</v>
      </c>
      <c r="P29" s="919">
        <v>8.6392928858637106</v>
      </c>
      <c r="Q29" s="965">
        <v>6.3934848171057723</v>
      </c>
    </row>
    <row r="30" spans="1:17" x14ac:dyDescent="0.25">
      <c r="A30" s="917" t="s">
        <v>947</v>
      </c>
      <c r="B30" s="919"/>
      <c r="C30" s="919"/>
      <c r="D30" s="919"/>
      <c r="E30" s="919"/>
      <c r="F30" s="919"/>
      <c r="G30" s="1009"/>
      <c r="H30" s="919"/>
      <c r="I30" s="919"/>
      <c r="J30" s="919"/>
      <c r="K30" s="919"/>
      <c r="L30" s="1009"/>
      <c r="M30" s="965"/>
      <c r="N30" s="919"/>
      <c r="O30" s="919"/>
      <c r="P30" s="919"/>
      <c r="Q30" s="965"/>
    </row>
    <row r="31" spans="1:17" x14ac:dyDescent="0.25">
      <c r="A31" s="917" t="s">
        <v>948</v>
      </c>
      <c r="B31" s="919"/>
      <c r="C31" s="919"/>
      <c r="D31" s="919"/>
      <c r="E31" s="919"/>
      <c r="F31" s="919"/>
      <c r="G31" s="1009"/>
      <c r="H31" s="919"/>
      <c r="I31" s="919"/>
      <c r="J31" s="919"/>
      <c r="K31" s="919"/>
      <c r="L31" s="1009"/>
      <c r="M31" s="965"/>
      <c r="N31" s="919"/>
      <c r="O31" s="919"/>
      <c r="P31" s="919"/>
      <c r="Q31" s="965"/>
    </row>
    <row r="32" spans="1:17" x14ac:dyDescent="0.25">
      <c r="A32" s="917" t="s">
        <v>949</v>
      </c>
      <c r="B32" s="919">
        <v>4.3959167624031013</v>
      </c>
      <c r="C32" s="919">
        <v>10.4719</v>
      </c>
      <c r="D32" s="919"/>
      <c r="E32" s="919">
        <v>10.121317498414051</v>
      </c>
      <c r="F32" s="919">
        <v>6.034846448339934</v>
      </c>
      <c r="G32" s="1009">
        <v>5.610105238391391</v>
      </c>
      <c r="H32" s="919"/>
      <c r="I32" s="919"/>
      <c r="J32" s="919"/>
      <c r="K32" s="919"/>
      <c r="L32" s="1009"/>
      <c r="M32" s="965">
        <v>5.610105238391391</v>
      </c>
      <c r="N32" s="919">
        <v>5.2617903859461439</v>
      </c>
      <c r="O32" s="919"/>
      <c r="P32" s="919"/>
      <c r="Q32" s="965">
        <v>5.2617903859461439</v>
      </c>
    </row>
    <row r="33" spans="1:17" x14ac:dyDescent="0.25">
      <c r="A33" s="917" t="s">
        <v>950</v>
      </c>
      <c r="B33" s="919">
        <v>10.57263900800536</v>
      </c>
      <c r="C33" s="919">
        <v>9.0630469396783351</v>
      </c>
      <c r="D33" s="919"/>
      <c r="E33" s="919">
        <v>6.6974</v>
      </c>
      <c r="F33" s="919">
        <v>9.1993229269465004</v>
      </c>
      <c r="G33" s="1009">
        <v>10.189095468875109</v>
      </c>
      <c r="H33" s="919" t="s">
        <v>921</v>
      </c>
      <c r="I33" s="919"/>
      <c r="J33" s="919"/>
      <c r="K33" s="919"/>
      <c r="L33" s="1009" t="s">
        <v>921</v>
      </c>
      <c r="M33" s="965">
        <v>9.1874060645649749</v>
      </c>
      <c r="N33" s="919">
        <v>9.3352509459892286</v>
      </c>
      <c r="O33" s="919" t="s">
        <v>921</v>
      </c>
      <c r="P33" s="919"/>
      <c r="Q33" s="965">
        <v>9.1619870290259868</v>
      </c>
    </row>
    <row r="34" spans="1:17" x14ac:dyDescent="0.25">
      <c r="A34" s="917" t="s">
        <v>951</v>
      </c>
      <c r="B34" s="977">
        <v>9.8549032186424945</v>
      </c>
      <c r="C34" s="977" t="s">
        <v>921</v>
      </c>
      <c r="D34" s="977">
        <v>8.6164706789729344</v>
      </c>
      <c r="E34" s="977" t="s">
        <v>921</v>
      </c>
      <c r="F34" s="977">
        <v>12.70300984842426</v>
      </c>
      <c r="G34" s="1009">
        <v>10.279015616847911</v>
      </c>
      <c r="H34" s="977" t="s">
        <v>921</v>
      </c>
      <c r="I34" s="977"/>
      <c r="J34" s="977" t="s">
        <v>921</v>
      </c>
      <c r="K34" s="977"/>
      <c r="L34" s="1009" t="s">
        <v>921</v>
      </c>
      <c r="M34" s="965">
        <v>8.8473345509130379</v>
      </c>
      <c r="N34" s="977">
        <v>12.869158092324319</v>
      </c>
      <c r="O34" s="977">
        <v>6.9850668765935069</v>
      </c>
      <c r="P34" s="977">
        <v>9.2662880447547309</v>
      </c>
      <c r="Q34" s="965">
        <v>8.8101424856352732</v>
      </c>
    </row>
    <row r="35" spans="1:17" x14ac:dyDescent="0.25">
      <c r="A35" s="910" t="s">
        <v>115</v>
      </c>
      <c r="B35" s="924">
        <v>9.3545003245847305</v>
      </c>
      <c r="C35" s="924">
        <v>8.0685288989417518</v>
      </c>
      <c r="D35" s="924">
        <v>8.5295104290968862</v>
      </c>
      <c r="E35" s="924">
        <v>8.0634333778150182</v>
      </c>
      <c r="F35" s="924">
        <v>9.9644268430599592</v>
      </c>
      <c r="G35" s="924">
        <v>8.9108247613219351</v>
      </c>
      <c r="H35" s="924">
        <v>4.4935499489017303</v>
      </c>
      <c r="I35" s="924">
        <v>4.154743719140443</v>
      </c>
      <c r="J35" s="924">
        <v>4.0266318708547653</v>
      </c>
      <c r="K35" s="924">
        <v>6.7600533248703671</v>
      </c>
      <c r="L35" s="924">
        <v>4.6704580971143352</v>
      </c>
      <c r="M35" s="924">
        <v>7.6232991548295876</v>
      </c>
      <c r="N35" s="924">
        <v>9.5415415250428062</v>
      </c>
      <c r="O35" s="924">
        <v>8.2400608833066631</v>
      </c>
      <c r="P35" s="924">
        <v>6.8466137696461482</v>
      </c>
      <c r="Q35" s="924">
        <v>8.0059870404610933</v>
      </c>
    </row>
    <row r="36" spans="1:17" x14ac:dyDescent="0.25">
      <c r="A36" s="917" t="s">
        <v>952</v>
      </c>
      <c r="B36" s="919">
        <v>7.7682430011260308</v>
      </c>
      <c r="C36" s="919">
        <v>7.6438850638924647</v>
      </c>
      <c r="D36" s="919">
        <v>7.8118344954511247</v>
      </c>
      <c r="E36" s="919">
        <v>8.3226883463894605</v>
      </c>
      <c r="F36" s="919">
        <v>9.7210355493644052</v>
      </c>
      <c r="G36" s="1009">
        <v>7.9828224357719044</v>
      </c>
      <c r="H36" s="919">
        <v>5.8447773593892869</v>
      </c>
      <c r="I36" s="919">
        <v>4.6859735076533413</v>
      </c>
      <c r="J36" s="919" t="s">
        <v>921</v>
      </c>
      <c r="K36" s="919" t="s">
        <v>921</v>
      </c>
      <c r="L36" s="1009">
        <v>4.8697962212533161</v>
      </c>
      <c r="M36" s="965">
        <v>7.515468209440801</v>
      </c>
      <c r="N36" s="919">
        <v>9.9313046757363814</v>
      </c>
      <c r="O36" s="919">
        <v>6.7983475592446982</v>
      </c>
      <c r="P36" s="919">
        <v>7.3210085535448117</v>
      </c>
      <c r="Q36" s="965">
        <v>7.524217075094918</v>
      </c>
    </row>
    <row r="37" spans="1:17" x14ac:dyDescent="0.25">
      <c r="A37" s="917" t="s">
        <v>953</v>
      </c>
      <c r="B37" s="919">
        <v>9.4769716418389809</v>
      </c>
      <c r="C37" s="919">
        <v>8.4110206903577573</v>
      </c>
      <c r="D37" s="919">
        <v>9.0812125464533064</v>
      </c>
      <c r="E37" s="919">
        <v>9.6888313532002535</v>
      </c>
      <c r="F37" s="919">
        <v>10.081252066807149</v>
      </c>
      <c r="G37" s="1009">
        <v>9.3800912896253337</v>
      </c>
      <c r="H37" s="919">
        <v>4.1649155580936963</v>
      </c>
      <c r="I37" s="919" t="s">
        <v>921</v>
      </c>
      <c r="J37" s="919">
        <v>4.5294363717865753</v>
      </c>
      <c r="K37" s="919">
        <v>6.7500729868563836</v>
      </c>
      <c r="L37" s="1009">
        <v>5.1605735721169106</v>
      </c>
      <c r="M37" s="965">
        <v>7.8524961052995934</v>
      </c>
      <c r="N37" s="919">
        <v>9.0434663735889931</v>
      </c>
      <c r="O37" s="919">
        <v>8.4269948084533652</v>
      </c>
      <c r="P37" s="919">
        <v>6.5538037453037852</v>
      </c>
      <c r="Q37" s="965">
        <v>7.9461066101364217</v>
      </c>
    </row>
    <row r="38" spans="1:17" x14ac:dyDescent="0.25">
      <c r="A38" s="917" t="s">
        <v>954</v>
      </c>
      <c r="B38" s="919">
        <v>10.016854597407111</v>
      </c>
      <c r="C38" s="919">
        <v>9.8566231766266519</v>
      </c>
      <c r="D38" s="919">
        <v>7.848103940327082</v>
      </c>
      <c r="E38" s="919">
        <v>9.977749254245639</v>
      </c>
      <c r="F38" s="919">
        <v>9.9270343194106374</v>
      </c>
      <c r="G38" s="1009">
        <v>9.4304344934539994</v>
      </c>
      <c r="H38" s="919" t="s">
        <v>921</v>
      </c>
      <c r="I38" s="919"/>
      <c r="J38" s="919" t="s">
        <v>921</v>
      </c>
      <c r="K38" s="919" t="s">
        <v>921</v>
      </c>
      <c r="L38" s="1009">
        <v>3.455965764177805</v>
      </c>
      <c r="M38" s="965">
        <v>6.4742188255998272</v>
      </c>
      <c r="N38" s="919">
        <v>10.02071002084676</v>
      </c>
      <c r="O38" s="919" t="s">
        <v>921</v>
      </c>
      <c r="P38" s="919">
        <v>8.6134330455927621</v>
      </c>
      <c r="Q38" s="965">
        <v>9.7207014866795944</v>
      </c>
    </row>
    <row r="39" spans="1:17" x14ac:dyDescent="0.25">
      <c r="A39" s="917" t="s">
        <v>955</v>
      </c>
      <c r="B39" s="919">
        <v>9.7043828132452443</v>
      </c>
      <c r="C39" s="919">
        <v>8.5157116785967908</v>
      </c>
      <c r="D39" s="919" t="s">
        <v>921</v>
      </c>
      <c r="E39" s="919">
        <v>7.50365184047015</v>
      </c>
      <c r="F39" s="919">
        <v>10.574629911367669</v>
      </c>
      <c r="G39" s="1009">
        <v>8.1527338597060748</v>
      </c>
      <c r="H39" s="919"/>
      <c r="I39" s="919" t="s">
        <v>921</v>
      </c>
      <c r="J39" s="919"/>
      <c r="K39" s="919"/>
      <c r="L39" s="1009" t="s">
        <v>921</v>
      </c>
      <c r="M39" s="965">
        <v>6.7036362841389483</v>
      </c>
      <c r="N39" s="919">
        <v>9.0679571691894783</v>
      </c>
      <c r="O39" s="919">
        <v>9.7969060689155114</v>
      </c>
      <c r="P39" s="919"/>
      <c r="Q39" s="965">
        <v>9.2306024767704855</v>
      </c>
    </row>
    <row r="40" spans="1:17" x14ac:dyDescent="0.25">
      <c r="A40" s="917" t="s">
        <v>956</v>
      </c>
      <c r="B40" s="919">
        <v>9.8725709501213075</v>
      </c>
      <c r="C40" s="919" t="s">
        <v>921</v>
      </c>
      <c r="D40" s="919">
        <v>7.951205032954892</v>
      </c>
      <c r="E40" s="919">
        <v>9.5719938174185693</v>
      </c>
      <c r="F40" s="919">
        <v>11.281925525652561</v>
      </c>
      <c r="G40" s="1009">
        <v>9.1269732886788706</v>
      </c>
      <c r="H40" s="919" t="s">
        <v>921</v>
      </c>
      <c r="I40" s="919" t="s">
        <v>921</v>
      </c>
      <c r="J40" s="919"/>
      <c r="K40" s="919"/>
      <c r="L40" s="1009" t="s">
        <v>921</v>
      </c>
      <c r="M40" s="965">
        <v>7.5215646406543613</v>
      </c>
      <c r="N40" s="919">
        <v>7.9873397794518297</v>
      </c>
      <c r="O40" s="919">
        <v>14.55756554017613</v>
      </c>
      <c r="P40" s="919" t="s">
        <v>921</v>
      </c>
      <c r="Q40" s="965">
        <v>8.5536635761888267</v>
      </c>
    </row>
    <row r="41" spans="1:17" x14ac:dyDescent="0.25">
      <c r="A41" s="917" t="s">
        <v>957</v>
      </c>
      <c r="B41" s="919">
        <v>10.730555756657861</v>
      </c>
      <c r="C41" s="919">
        <v>9.0579126724797963</v>
      </c>
      <c r="D41" s="919">
        <v>7.2992602199206722</v>
      </c>
      <c r="E41" s="919">
        <v>9.8805514850160527</v>
      </c>
      <c r="F41" s="919">
        <v>8.3497317718294024</v>
      </c>
      <c r="G41" s="1009">
        <v>9.4371248045884162</v>
      </c>
      <c r="H41" s="919">
        <v>4.5938425673900811</v>
      </c>
      <c r="I41" s="919"/>
      <c r="J41" s="919"/>
      <c r="K41" s="919"/>
      <c r="L41" s="1009">
        <v>4.5938425673900811</v>
      </c>
      <c r="M41" s="965">
        <v>8.5174165756499374</v>
      </c>
      <c r="N41" s="919">
        <v>9.225528912636193</v>
      </c>
      <c r="O41" s="919">
        <v>10.502068693238719</v>
      </c>
      <c r="P41" s="919" t="s">
        <v>921</v>
      </c>
      <c r="Q41" s="965">
        <v>9.805320075383019</v>
      </c>
    </row>
    <row r="42" spans="1:17" x14ac:dyDescent="0.25">
      <c r="A42" s="917" t="s">
        <v>958</v>
      </c>
      <c r="B42" s="919">
        <v>14.11101934706187</v>
      </c>
      <c r="C42" s="919">
        <v>10.069020183568661</v>
      </c>
      <c r="D42" s="919">
        <v>13.154187041435041</v>
      </c>
      <c r="E42" s="919"/>
      <c r="F42" s="919">
        <v>10.76575181443669</v>
      </c>
      <c r="G42" s="1009">
        <v>12.93540405388169</v>
      </c>
      <c r="H42" s="919"/>
      <c r="I42" s="919"/>
      <c r="J42" s="919"/>
      <c r="K42" s="919"/>
      <c r="L42" s="1009"/>
      <c r="M42" s="965">
        <v>12.93540405388169</v>
      </c>
      <c r="N42" s="919">
        <v>13.66727829370307</v>
      </c>
      <c r="O42" s="919">
        <v>12.04291985920662</v>
      </c>
      <c r="P42" s="919"/>
      <c r="Q42" s="965">
        <v>13.005579656020609</v>
      </c>
    </row>
    <row r="43" spans="1:17" x14ac:dyDescent="0.25">
      <c r="A43" s="917" t="s">
        <v>959</v>
      </c>
      <c r="B43" s="919">
        <v>2.8114471443409008</v>
      </c>
      <c r="C43" s="919"/>
      <c r="D43" s="919"/>
      <c r="E43" s="919"/>
      <c r="F43" s="919"/>
      <c r="G43" s="1009">
        <v>2.8114471443409008</v>
      </c>
      <c r="H43" s="919"/>
      <c r="I43" s="919"/>
      <c r="J43" s="919"/>
      <c r="K43" s="919"/>
      <c r="L43" s="1009"/>
      <c r="M43" s="965">
        <v>2.8114471443409008</v>
      </c>
      <c r="N43" s="919" t="s">
        <v>921</v>
      </c>
      <c r="O43" s="919"/>
      <c r="P43" s="919">
        <v>2.8168079127264201</v>
      </c>
      <c r="Q43" s="965">
        <v>2.8114471443409008</v>
      </c>
    </row>
    <row r="44" spans="1:17" x14ac:dyDescent="0.25">
      <c r="A44" s="917" t="s">
        <v>960</v>
      </c>
      <c r="B44" s="919">
        <v>13.43398016959307</v>
      </c>
      <c r="C44" s="919">
        <v>10.21902308588793</v>
      </c>
      <c r="D44" s="919">
        <v>11.570489365966001</v>
      </c>
      <c r="E44" s="919">
        <v>9.762914322021425</v>
      </c>
      <c r="F44" s="919">
        <v>10.900300732431781</v>
      </c>
      <c r="G44" s="1009">
        <v>12.688922996334171</v>
      </c>
      <c r="H44" s="919"/>
      <c r="I44" s="919"/>
      <c r="J44" s="919"/>
      <c r="K44" s="919"/>
      <c r="L44" s="1009"/>
      <c r="M44" s="965">
        <v>12.688922996334171</v>
      </c>
      <c r="N44" s="919">
        <v>12.09959630735505</v>
      </c>
      <c r="O44" s="919">
        <v>12.55687934369992</v>
      </c>
      <c r="P44" s="919">
        <v>14.69235637909649</v>
      </c>
      <c r="Q44" s="965">
        <v>12.688922996334171</v>
      </c>
    </row>
    <row r="45" spans="1:17" x14ac:dyDescent="0.25">
      <c r="A45" s="926" t="s">
        <v>961</v>
      </c>
      <c r="B45" s="919">
        <v>9.1653575180420628</v>
      </c>
      <c r="C45" s="919"/>
      <c r="D45" s="919" t="s">
        <v>921</v>
      </c>
      <c r="E45" s="919"/>
      <c r="F45" s="919">
        <v>8.5234310109247797</v>
      </c>
      <c r="G45" s="1009">
        <v>9.1489380095434765</v>
      </c>
      <c r="H45" s="919"/>
      <c r="I45" s="919"/>
      <c r="J45" s="919"/>
      <c r="K45" s="919"/>
      <c r="L45" s="1009"/>
      <c r="M45" s="965">
        <v>9.1489380095434765</v>
      </c>
      <c r="N45" s="919">
        <v>9.130395084538252</v>
      </c>
      <c r="O45" s="919" t="s">
        <v>921</v>
      </c>
      <c r="P45" s="919"/>
      <c r="Q45" s="965">
        <v>9.1309614834215491</v>
      </c>
    </row>
    <row r="46" spans="1:17" x14ac:dyDescent="0.25">
      <c r="A46" s="927" t="s">
        <v>962</v>
      </c>
      <c r="B46" s="924">
        <v>9.4707515388399361</v>
      </c>
      <c r="C46" s="924">
        <v>10.29578071282079</v>
      </c>
      <c r="D46" s="924" t="s">
        <v>921</v>
      </c>
      <c r="E46" s="924"/>
      <c r="F46" s="924">
        <v>5.3430512512982897</v>
      </c>
      <c r="G46" s="924">
        <v>8.2707665222867455</v>
      </c>
      <c r="H46" s="924"/>
      <c r="I46" s="924"/>
      <c r="J46" s="924"/>
      <c r="K46" s="924"/>
      <c r="L46" s="924"/>
      <c r="M46" s="924">
        <v>8.2707665222867455</v>
      </c>
      <c r="N46" s="924">
        <v>9.7779463772134569</v>
      </c>
      <c r="O46" s="924"/>
      <c r="P46" s="924"/>
      <c r="Q46" s="924">
        <v>9.7779463772134569</v>
      </c>
    </row>
    <row r="47" spans="1:17" ht="15.75" thickBot="1" x14ac:dyDescent="0.3">
      <c r="A47" s="928" t="s">
        <v>116</v>
      </c>
      <c r="B47" s="930">
        <v>8.3685877751257731</v>
      </c>
      <c r="C47" s="930">
        <v>8.2098325397681791</v>
      </c>
      <c r="D47" s="930">
        <v>8.3414317334144261</v>
      </c>
      <c r="E47" s="930">
        <v>8.3416814816377496</v>
      </c>
      <c r="F47" s="930">
        <v>10.1090471663478</v>
      </c>
      <c r="G47" s="930">
        <v>8.5284838306719095</v>
      </c>
      <c r="H47" s="930">
        <v>5.1051499428845073</v>
      </c>
      <c r="I47" s="930">
        <v>4.2783312775487268</v>
      </c>
      <c r="J47" s="930">
        <v>4.0921024949558022</v>
      </c>
      <c r="K47" s="930">
        <v>5.62623243765466</v>
      </c>
      <c r="L47" s="930">
        <v>4.7682338429881517</v>
      </c>
      <c r="M47" s="930">
        <v>7.1246395645986977</v>
      </c>
      <c r="N47" s="930">
        <v>9.4269179717190035</v>
      </c>
      <c r="O47" s="930">
        <v>7.2850691289285949</v>
      </c>
      <c r="P47" s="930">
        <v>6.3940519178123632</v>
      </c>
      <c r="Q47" s="930">
        <v>7.6884774753878418</v>
      </c>
    </row>
    <row r="48" spans="1:17" ht="15.75" thickTop="1" x14ac:dyDescent="0.25">
      <c r="A48" s="935" t="s">
        <v>963</v>
      </c>
      <c r="B48" s="919">
        <v>6.1674420758695074</v>
      </c>
      <c r="C48" s="919">
        <v>5.9530641533537452</v>
      </c>
      <c r="D48" s="919">
        <v>13.9213029204862</v>
      </c>
      <c r="E48" s="919">
        <v>7.7456192109711548</v>
      </c>
      <c r="F48" s="919">
        <v>9.9813096337765757</v>
      </c>
      <c r="G48" s="1010">
        <v>8.5240978361939241</v>
      </c>
      <c r="H48" s="919">
        <v>4.3288827058896082</v>
      </c>
      <c r="I48" s="919">
        <v>4.5646410573723433</v>
      </c>
      <c r="J48" s="919">
        <v>4.2978165854741288</v>
      </c>
      <c r="K48" s="919"/>
      <c r="L48" s="1010">
        <v>4.4455046703472476</v>
      </c>
      <c r="M48" s="1011">
        <v>5.6535171905720647</v>
      </c>
      <c r="N48" s="919">
        <v>12.25069990190074</v>
      </c>
      <c r="O48" s="919">
        <v>11.908527020293389</v>
      </c>
      <c r="P48" s="919">
        <v>5.4591356902222827</v>
      </c>
      <c r="Q48" s="1011">
        <v>7.4233589128631472</v>
      </c>
    </row>
    <row r="49" spans="1:17" x14ac:dyDescent="0.25">
      <c r="A49" s="938" t="s">
        <v>964</v>
      </c>
      <c r="B49" s="919">
        <v>6.1397462214541614</v>
      </c>
      <c r="C49" s="919">
        <v>6.1097173303126899</v>
      </c>
      <c r="D49" s="919">
        <v>7.2149691079783809</v>
      </c>
      <c r="E49" s="919">
        <v>7.8244908006843126</v>
      </c>
      <c r="F49" s="919">
        <v>10.29842620505957</v>
      </c>
      <c r="G49" s="1010">
        <v>6.944024807384471</v>
      </c>
      <c r="H49" s="919">
        <v>4.2688285112686426</v>
      </c>
      <c r="I49" s="919">
        <v>3.861757936589775</v>
      </c>
      <c r="J49" s="919">
        <v>3.8565360595156548</v>
      </c>
      <c r="K49" s="919" t="s">
        <v>921</v>
      </c>
      <c r="L49" s="1010">
        <v>3.969067406953267</v>
      </c>
      <c r="M49" s="1011">
        <v>5.7414522419037741</v>
      </c>
      <c r="N49" s="919">
        <v>3.746940525341782</v>
      </c>
      <c r="O49" s="919">
        <v>8.960702123480063</v>
      </c>
      <c r="P49" s="919">
        <v>5.4386832315920701</v>
      </c>
      <c r="Q49" s="1011">
        <v>5.6988119291117743</v>
      </c>
    </row>
    <row r="50" spans="1:17" x14ac:dyDescent="0.25">
      <c r="A50" s="938" t="s">
        <v>965</v>
      </c>
      <c r="B50" s="919">
        <v>9.9741445850093964</v>
      </c>
      <c r="C50" s="919">
        <v>6.4412447768897207</v>
      </c>
      <c r="D50" s="919">
        <v>10.610941014343229</v>
      </c>
      <c r="E50" s="919">
        <v>8.65</v>
      </c>
      <c r="F50" s="919">
        <v>9.8366118287377908</v>
      </c>
      <c r="G50" s="1010">
        <v>7.6508401233269874</v>
      </c>
      <c r="H50" s="919" t="s">
        <v>921</v>
      </c>
      <c r="I50" s="919">
        <v>5.1125757140291261</v>
      </c>
      <c r="J50" s="919" t="s">
        <v>921</v>
      </c>
      <c r="K50" s="919">
        <v>2.3755000000000002</v>
      </c>
      <c r="L50" s="1010">
        <v>4.8733604524948966</v>
      </c>
      <c r="M50" s="1011">
        <v>6.4101200764519639</v>
      </c>
      <c r="N50" s="919">
        <v>11.47177169817871</v>
      </c>
      <c r="O50" s="919">
        <v>9.7881626508066617</v>
      </c>
      <c r="P50" s="919">
        <v>5.1560231886326848</v>
      </c>
      <c r="Q50" s="1011">
        <v>6.1253273752235913</v>
      </c>
    </row>
    <row r="51" spans="1:17" x14ac:dyDescent="0.25">
      <c r="A51" s="938" t="s">
        <v>966</v>
      </c>
      <c r="B51" s="919">
        <v>9.1659444662241878</v>
      </c>
      <c r="C51" s="919" t="s">
        <v>921</v>
      </c>
      <c r="D51" s="919">
        <v>16.388343980220931</v>
      </c>
      <c r="E51" s="919">
        <v>9.9247999999999994</v>
      </c>
      <c r="F51" s="919">
        <v>11.895514316132351</v>
      </c>
      <c r="G51" s="1010">
        <v>13.70263660188448</v>
      </c>
      <c r="H51" s="919"/>
      <c r="I51" s="919"/>
      <c r="J51" s="919"/>
      <c r="K51" s="919" t="s">
        <v>921</v>
      </c>
      <c r="L51" s="1010" t="s">
        <v>921</v>
      </c>
      <c r="M51" s="1011">
        <v>6.5314215125799588</v>
      </c>
      <c r="N51" s="919">
        <v>13.36108811218922</v>
      </c>
      <c r="O51" s="919">
        <v>14.57593001682385</v>
      </c>
      <c r="P51" s="919" t="s">
        <v>921</v>
      </c>
      <c r="Q51" s="1011">
        <v>13.674789067666699</v>
      </c>
    </row>
    <row r="52" spans="1:17" x14ac:dyDescent="0.25">
      <c r="A52" s="938" t="s">
        <v>967</v>
      </c>
      <c r="B52" s="919">
        <v>9.6365616788025807</v>
      </c>
      <c r="C52" s="919">
        <v>7.5546835099775862</v>
      </c>
      <c r="D52" s="919">
        <v>11.72897853762775</v>
      </c>
      <c r="E52" s="919">
        <v>8.2499744386456033</v>
      </c>
      <c r="F52" s="919">
        <v>1.889784229615592</v>
      </c>
      <c r="G52" s="1010">
        <v>8.0455376218434136</v>
      </c>
      <c r="H52" s="919">
        <v>4.5839503244202691</v>
      </c>
      <c r="I52" s="919">
        <v>4.5531363894987331</v>
      </c>
      <c r="J52" s="919">
        <v>4.2663721676907853</v>
      </c>
      <c r="K52" s="919" t="s">
        <v>921</v>
      </c>
      <c r="L52" s="1010">
        <v>4.3930958113300029</v>
      </c>
      <c r="M52" s="1011">
        <v>4.6597319890551079</v>
      </c>
      <c r="N52" s="919">
        <v>10.318003525020391</v>
      </c>
      <c r="O52" s="919">
        <v>7.9374478950677902</v>
      </c>
      <c r="P52" s="919">
        <v>4.6488591350568118</v>
      </c>
      <c r="Q52" s="1011">
        <v>5.1116189233876241</v>
      </c>
    </row>
    <row r="53" spans="1:17" x14ac:dyDescent="0.25">
      <c r="A53" s="938" t="s">
        <v>968</v>
      </c>
      <c r="B53" s="919">
        <v>4.9492165737908458</v>
      </c>
      <c r="C53" s="919">
        <v>10.35618091283566</v>
      </c>
      <c r="D53" s="919">
        <v>7.1293010993990489</v>
      </c>
      <c r="E53" s="919">
        <v>7.4587004053883756</v>
      </c>
      <c r="F53" s="919">
        <v>8.3540581000354379</v>
      </c>
      <c r="G53" s="1010">
        <v>7.1159358940237238</v>
      </c>
      <c r="H53" s="919">
        <v>2.0778777079966311</v>
      </c>
      <c r="I53" s="919" t="s">
        <v>921</v>
      </c>
      <c r="J53" s="919">
        <v>5.1215532807384134</v>
      </c>
      <c r="K53" s="919" t="s">
        <v>921</v>
      </c>
      <c r="L53" s="1010">
        <v>2.2944950129737012</v>
      </c>
      <c r="M53" s="1011">
        <v>3.8579164126373229</v>
      </c>
      <c r="N53" s="919">
        <v>10.199107103342779</v>
      </c>
      <c r="O53" s="919">
        <v>7.145086605023633</v>
      </c>
      <c r="P53" s="919">
        <v>5.6942940232765826</v>
      </c>
      <c r="Q53" s="1011">
        <v>6.9171888239966721</v>
      </c>
    </row>
    <row r="54" spans="1:17" x14ac:dyDescent="0.25">
      <c r="A54" s="938" t="s">
        <v>969</v>
      </c>
      <c r="B54" s="919"/>
      <c r="C54" s="919"/>
      <c r="D54" s="919"/>
      <c r="E54" s="919">
        <v>8.1999999999999993</v>
      </c>
      <c r="F54" s="919"/>
      <c r="G54" s="1010">
        <v>8.1999999999999993</v>
      </c>
      <c r="H54" s="919"/>
      <c r="I54" s="919"/>
      <c r="J54" s="919"/>
      <c r="K54" s="919"/>
      <c r="L54" s="1010"/>
      <c r="M54" s="1011">
        <v>8.1999999999999993</v>
      </c>
      <c r="N54" s="919"/>
      <c r="O54" s="919"/>
      <c r="P54" s="919"/>
      <c r="Q54" s="1011"/>
    </row>
    <row r="55" spans="1:17" x14ac:dyDescent="0.25">
      <c r="A55" s="938" t="s">
        <v>970</v>
      </c>
      <c r="B55" s="919">
        <v>7.2762864243088146</v>
      </c>
      <c r="C55" s="919">
        <v>8.477637697129877</v>
      </c>
      <c r="D55" s="919">
        <v>10.84392117572439</v>
      </c>
      <c r="E55" s="919">
        <v>7.6635846168406578</v>
      </c>
      <c r="F55" s="919">
        <v>8.5607825861632048</v>
      </c>
      <c r="G55" s="1010">
        <v>7.7581988662496073</v>
      </c>
      <c r="H55" s="919">
        <v>3.3405368034538112</v>
      </c>
      <c r="I55" s="919">
        <v>4.3174111189265858</v>
      </c>
      <c r="J55" s="919">
        <v>4.8502671659138308</v>
      </c>
      <c r="K55" s="919"/>
      <c r="L55" s="1010">
        <v>4.3573794426473116</v>
      </c>
      <c r="M55" s="1011">
        <v>6.2586625998805374</v>
      </c>
      <c r="N55" s="919">
        <v>12.430556681271399</v>
      </c>
      <c r="O55" s="919">
        <v>8.8163347438307493</v>
      </c>
      <c r="P55" s="919">
        <v>4.9070124920527078</v>
      </c>
      <c r="Q55" s="1011">
        <v>5.6655995310971772</v>
      </c>
    </row>
    <row r="56" spans="1:17" x14ac:dyDescent="0.25">
      <c r="A56" s="938" t="s">
        <v>971</v>
      </c>
      <c r="B56" s="919">
        <v>7.9770321352877476</v>
      </c>
      <c r="C56" s="919">
        <v>6.6850492906317411</v>
      </c>
      <c r="D56" s="919">
        <v>9.0390661521039402</v>
      </c>
      <c r="E56" s="919">
        <v>7.5542590752082646</v>
      </c>
      <c r="F56" s="919">
        <v>7.8890318253913971</v>
      </c>
      <c r="G56" s="1010">
        <v>7.5700296873555031</v>
      </c>
      <c r="H56" s="919">
        <v>4.5583935305153247</v>
      </c>
      <c r="I56" s="919" t="s">
        <v>921</v>
      </c>
      <c r="J56" s="919">
        <v>4.8536565099618283</v>
      </c>
      <c r="K56" s="919" t="s">
        <v>921</v>
      </c>
      <c r="L56" s="1010">
        <v>4.8096397370285038</v>
      </c>
      <c r="M56" s="1011">
        <v>7.2101658374748272</v>
      </c>
      <c r="N56" s="919">
        <v>9.3776580858927296</v>
      </c>
      <c r="O56" s="919">
        <v>7.4309401676387994</v>
      </c>
      <c r="P56" s="919">
        <v>7.3838468501452983</v>
      </c>
      <c r="Q56" s="1011">
        <v>7.3959959407748084</v>
      </c>
    </row>
    <row r="57" spans="1:17" x14ac:dyDescent="0.25">
      <c r="A57" s="938" t="s">
        <v>972</v>
      </c>
      <c r="B57" s="919">
        <v>7.9808082906606419</v>
      </c>
      <c r="C57" s="919">
        <v>7.3553769655314829</v>
      </c>
      <c r="D57" s="919">
        <v>11.27556191537183</v>
      </c>
      <c r="E57" s="919">
        <v>8.5852242030888757</v>
      </c>
      <c r="F57" s="919">
        <v>10.552204120204189</v>
      </c>
      <c r="G57" s="1010">
        <v>8.5695324220238689</v>
      </c>
      <c r="H57" s="919">
        <v>5.6655034207750496</v>
      </c>
      <c r="I57" s="919" t="s">
        <v>921</v>
      </c>
      <c r="J57" s="919">
        <v>4.8684000000000003</v>
      </c>
      <c r="K57" s="919"/>
      <c r="L57" s="1010">
        <v>5.784877458142252</v>
      </c>
      <c r="M57" s="1011">
        <v>8.1291888514373447</v>
      </c>
      <c r="N57" s="919">
        <v>11.6458202340393</v>
      </c>
      <c r="O57" s="919">
        <v>10.656368982453831</v>
      </c>
      <c r="P57" s="919">
        <v>7.7902983010844107</v>
      </c>
      <c r="Q57" s="1011">
        <v>9.0996758649531593</v>
      </c>
    </row>
    <row r="58" spans="1:17" x14ac:dyDescent="0.25">
      <c r="A58" s="938" t="s">
        <v>973</v>
      </c>
      <c r="B58" s="919">
        <v>5.1789252744505676</v>
      </c>
      <c r="C58" s="919">
        <v>4.8814161220981998</v>
      </c>
      <c r="D58" s="919">
        <v>10.263249312581021</v>
      </c>
      <c r="E58" s="919">
        <v>8.885243075223574</v>
      </c>
      <c r="F58" s="919">
        <v>12.189814123236429</v>
      </c>
      <c r="G58" s="1010">
        <v>6.6197186411721649</v>
      </c>
      <c r="H58" s="919">
        <v>1.273528634048787</v>
      </c>
      <c r="I58" s="919" t="s">
        <v>921</v>
      </c>
      <c r="J58" s="919">
        <v>4.4541698952278264</v>
      </c>
      <c r="K58" s="919">
        <v>5.9682924539495152</v>
      </c>
      <c r="L58" s="1010">
        <v>2.9626924585892889</v>
      </c>
      <c r="M58" s="1011">
        <v>6.365365029961497</v>
      </c>
      <c r="N58" s="919">
        <v>14.26457980479038</v>
      </c>
      <c r="O58" s="919">
        <v>7.185945339429022</v>
      </c>
      <c r="P58" s="919">
        <v>7.319706013264879</v>
      </c>
      <c r="Q58" s="1011">
        <v>7.4913644940671444</v>
      </c>
    </row>
    <row r="59" spans="1:17" x14ac:dyDescent="0.25">
      <c r="A59" s="938" t="s">
        <v>974</v>
      </c>
      <c r="B59" s="919">
        <v>10.6959706246216</v>
      </c>
      <c r="C59" s="919" t="s">
        <v>921</v>
      </c>
      <c r="D59" s="919">
        <v>11.4377365190942</v>
      </c>
      <c r="E59" s="919"/>
      <c r="F59" s="919">
        <v>7.3226066791499402</v>
      </c>
      <c r="G59" s="1010">
        <v>6.7096792534804193</v>
      </c>
      <c r="H59" s="919" t="s">
        <v>921</v>
      </c>
      <c r="I59" s="919" t="s">
        <v>921</v>
      </c>
      <c r="J59" s="919" t="s">
        <v>921</v>
      </c>
      <c r="K59" s="919"/>
      <c r="L59" s="1010">
        <v>3.2755893553170039</v>
      </c>
      <c r="M59" s="1011">
        <v>4.5317363031706259</v>
      </c>
      <c r="N59" s="919">
        <v>8.1503532270628227</v>
      </c>
      <c r="O59" s="919">
        <v>11.26493000722526</v>
      </c>
      <c r="P59" s="919">
        <v>3.1806381307980578</v>
      </c>
      <c r="Q59" s="1011">
        <v>3.858262402256889</v>
      </c>
    </row>
    <row r="60" spans="1:17" x14ac:dyDescent="0.25">
      <c r="A60" s="938" t="s">
        <v>975</v>
      </c>
      <c r="B60" s="919">
        <v>4.8758997842969736</v>
      </c>
      <c r="C60" s="919">
        <v>8.5478548535542735</v>
      </c>
      <c r="D60" s="919">
        <v>11.676872006862761</v>
      </c>
      <c r="E60" s="919">
        <v>8.1347767548721581</v>
      </c>
      <c r="F60" s="919">
        <v>8.9697158585979508</v>
      </c>
      <c r="G60" s="1010">
        <v>7.92518609580116</v>
      </c>
      <c r="H60" s="919">
        <v>5.1050255359718832</v>
      </c>
      <c r="I60" s="919" t="s">
        <v>921</v>
      </c>
      <c r="J60" s="919">
        <v>4.2274789384803926</v>
      </c>
      <c r="K60" s="919"/>
      <c r="L60" s="1010">
        <v>4.8580813897365509</v>
      </c>
      <c r="M60" s="1011">
        <v>7.1707546193295784</v>
      </c>
      <c r="N60" s="919">
        <v>13.89509879838262</v>
      </c>
      <c r="O60" s="919">
        <v>9.4944865666906093</v>
      </c>
      <c r="P60" s="919">
        <v>7.3879310499079196</v>
      </c>
      <c r="Q60" s="1011">
        <v>8.2906457813233843</v>
      </c>
    </row>
    <row r="61" spans="1:17" x14ac:dyDescent="0.25">
      <c r="A61" s="938" t="s">
        <v>976</v>
      </c>
      <c r="B61" s="919">
        <v>14.129243291512029</v>
      </c>
      <c r="C61" s="919" t="s">
        <v>921</v>
      </c>
      <c r="D61" s="919">
        <v>10.790540793249219</v>
      </c>
      <c r="E61" s="919">
        <v>8.7308710715983473</v>
      </c>
      <c r="F61" s="919" t="s">
        <v>921</v>
      </c>
      <c r="G61" s="1010">
        <v>9.5732519396727174</v>
      </c>
      <c r="H61" s="919" t="s">
        <v>921</v>
      </c>
      <c r="I61" s="919"/>
      <c r="J61" s="919">
        <v>4.441791992415614</v>
      </c>
      <c r="K61" s="919" t="s">
        <v>921</v>
      </c>
      <c r="L61" s="1010">
        <v>4.7781932858039289</v>
      </c>
      <c r="M61" s="1011">
        <v>6.3056721467082673</v>
      </c>
      <c r="N61" s="919">
        <v>19.736913656569222</v>
      </c>
      <c r="O61" s="919" t="s">
        <v>921</v>
      </c>
      <c r="P61" s="919"/>
      <c r="Q61" s="1011">
        <v>17.775504871866449</v>
      </c>
    </row>
    <row r="62" spans="1:17" x14ac:dyDescent="0.25">
      <c r="A62" s="938" t="s">
        <v>977</v>
      </c>
      <c r="B62" s="919">
        <v>8.4088334632798176</v>
      </c>
      <c r="C62" s="919">
        <v>9.8680326952439366</v>
      </c>
      <c r="D62" s="919">
        <v>13.09526303250701</v>
      </c>
      <c r="E62" s="919">
        <v>7.7125726830771617</v>
      </c>
      <c r="F62" s="919">
        <v>10.122630251296631</v>
      </c>
      <c r="G62" s="1010">
        <v>9.1590738490996735</v>
      </c>
      <c r="H62" s="919">
        <v>5.0798846514093006</v>
      </c>
      <c r="I62" s="919" t="s">
        <v>921</v>
      </c>
      <c r="J62" s="919">
        <v>2.7115750737706681</v>
      </c>
      <c r="K62" s="919">
        <v>5.9753971929993757</v>
      </c>
      <c r="L62" s="1010">
        <v>3.4482447400077691</v>
      </c>
      <c r="M62" s="1011">
        <v>6.5004637878218068</v>
      </c>
      <c r="N62" s="919">
        <v>9.8389116816861275</v>
      </c>
      <c r="O62" s="919">
        <v>9.282066977095905</v>
      </c>
      <c r="P62" s="919">
        <v>3.8441939921702781</v>
      </c>
      <c r="Q62" s="1011">
        <v>6.5011737230226254</v>
      </c>
    </row>
    <row r="63" spans="1:17" x14ac:dyDescent="0.25">
      <c r="A63" s="910" t="s">
        <v>136</v>
      </c>
      <c r="B63" s="924">
        <v>6.8558388654467182</v>
      </c>
      <c r="C63" s="924">
        <v>6.9421164775549746</v>
      </c>
      <c r="D63" s="924">
        <v>12.034917712147649</v>
      </c>
      <c r="E63" s="924">
        <v>8.2805576281380588</v>
      </c>
      <c r="F63" s="924">
        <v>11.04881133413557</v>
      </c>
      <c r="G63" s="924">
        <v>7.8652842092782302</v>
      </c>
      <c r="H63" s="924">
        <v>3.8676367235749489</v>
      </c>
      <c r="I63" s="924">
        <v>4.8216356321353562</v>
      </c>
      <c r="J63" s="924">
        <v>4.285750538468883</v>
      </c>
      <c r="K63" s="924">
        <v>4.1640498932390919</v>
      </c>
      <c r="L63" s="924">
        <v>4.3028644432611198</v>
      </c>
      <c r="M63" s="924">
        <v>5.0324964415312836</v>
      </c>
      <c r="N63" s="924">
        <v>11.176070564094131</v>
      </c>
      <c r="O63" s="924">
        <v>8.4312035085663481</v>
      </c>
      <c r="P63" s="924">
        <v>7.0036005807138126</v>
      </c>
      <c r="Q63" s="924">
        <v>7.5936264265952573</v>
      </c>
    </row>
    <row r="64" spans="1:17" x14ac:dyDescent="0.25">
      <c r="A64" s="939" t="s">
        <v>978</v>
      </c>
      <c r="B64" s="919" t="s">
        <v>921</v>
      </c>
      <c r="C64" s="919"/>
      <c r="D64" s="919"/>
      <c r="E64" s="919"/>
      <c r="F64" s="919"/>
      <c r="G64" s="1010" t="s">
        <v>921</v>
      </c>
      <c r="H64" s="919"/>
      <c r="I64" s="919" t="s">
        <v>921</v>
      </c>
      <c r="J64" s="919"/>
      <c r="K64" s="919"/>
      <c r="L64" s="1010" t="s">
        <v>921</v>
      </c>
      <c r="M64" s="1011" t="s">
        <v>921</v>
      </c>
      <c r="N64" s="919" t="s">
        <v>921</v>
      </c>
      <c r="O64" s="919" t="s">
        <v>921</v>
      </c>
      <c r="P64" s="919"/>
      <c r="Q64" s="1011" t="s">
        <v>921</v>
      </c>
    </row>
    <row r="65" spans="1:17" x14ac:dyDescent="0.25">
      <c r="A65" s="939" t="s">
        <v>979</v>
      </c>
      <c r="B65" s="919"/>
      <c r="C65" s="919" t="s">
        <v>921</v>
      </c>
      <c r="D65" s="919" t="s">
        <v>921</v>
      </c>
      <c r="E65" s="919"/>
      <c r="F65" s="919"/>
      <c r="G65" s="1010">
        <v>10.31246263660301</v>
      </c>
      <c r="H65" s="919"/>
      <c r="I65" s="919"/>
      <c r="J65" s="919"/>
      <c r="K65" s="919"/>
      <c r="L65" s="1010"/>
      <c r="M65" s="1011">
        <v>10.31246263660301</v>
      </c>
      <c r="N65" s="919"/>
      <c r="O65" s="919">
        <v>10.31246263660301</v>
      </c>
      <c r="P65" s="919"/>
      <c r="Q65" s="1011">
        <v>10.31246263660301</v>
      </c>
    </row>
    <row r="66" spans="1:17" x14ac:dyDescent="0.25">
      <c r="A66" s="939" t="s">
        <v>980</v>
      </c>
      <c r="B66" s="919">
        <v>8.1102316299448205</v>
      </c>
      <c r="C66" s="919" t="s">
        <v>921</v>
      </c>
      <c r="D66" s="919">
        <v>10.404023228104579</v>
      </c>
      <c r="E66" s="919"/>
      <c r="F66" s="919">
        <v>10.531113706769229</v>
      </c>
      <c r="G66" s="1010">
        <v>9.5925109337157011</v>
      </c>
      <c r="H66" s="919"/>
      <c r="I66" s="919"/>
      <c r="J66" s="919"/>
      <c r="K66" s="919"/>
      <c r="L66" s="1010"/>
      <c r="M66" s="1011">
        <v>9.5925109337157011</v>
      </c>
      <c r="N66" s="919">
        <v>10.84355275209032</v>
      </c>
      <c r="O66" s="919">
        <v>8.8561899901833439</v>
      </c>
      <c r="P66" s="919"/>
      <c r="Q66" s="1011">
        <v>9.5925109337157011</v>
      </c>
    </row>
    <row r="67" spans="1:17" x14ac:dyDescent="0.25">
      <c r="A67" s="939" t="s">
        <v>981</v>
      </c>
      <c r="B67" s="919" t="s">
        <v>921</v>
      </c>
      <c r="C67" s="919"/>
      <c r="D67" s="919"/>
      <c r="E67" s="919" t="s">
        <v>921</v>
      </c>
      <c r="F67" s="919"/>
      <c r="G67" s="1010" t="s">
        <v>921</v>
      </c>
      <c r="H67" s="919">
        <v>2.2647323846333709</v>
      </c>
      <c r="I67" s="919" t="s">
        <v>921</v>
      </c>
      <c r="J67" s="919">
        <v>4.2679856887954468</v>
      </c>
      <c r="K67" s="919">
        <v>4.1565425390231638</v>
      </c>
      <c r="L67" s="1010">
        <v>4.4972225725636052</v>
      </c>
      <c r="M67" s="1011">
        <v>4.5739413659110832</v>
      </c>
      <c r="N67" s="919"/>
      <c r="O67" s="919">
        <v>7.8087907852099354</v>
      </c>
      <c r="P67" s="919"/>
      <c r="Q67" s="1011">
        <v>7.8087907852099354</v>
      </c>
    </row>
    <row r="68" spans="1:17" x14ac:dyDescent="0.25">
      <c r="A68" s="939" t="s">
        <v>982</v>
      </c>
      <c r="B68" s="919"/>
      <c r="C68" s="919"/>
      <c r="D68" s="919"/>
      <c r="E68" s="919"/>
      <c r="F68" s="919"/>
      <c r="G68" s="1010"/>
      <c r="H68" s="919"/>
      <c r="I68" s="919"/>
      <c r="J68" s="919"/>
      <c r="K68" s="919"/>
      <c r="L68" s="1010"/>
      <c r="M68" s="1011"/>
      <c r="N68" s="919"/>
      <c r="O68" s="919"/>
      <c r="P68" s="919"/>
      <c r="Q68" s="1011"/>
    </row>
    <row r="69" spans="1:17" x14ac:dyDescent="0.25">
      <c r="A69" s="939" t="s">
        <v>983</v>
      </c>
      <c r="B69" s="919">
        <v>7.2303519236095992</v>
      </c>
      <c r="C69" s="919">
        <v>6.8556500892468684</v>
      </c>
      <c r="D69" s="919">
        <v>11.19112032400424</v>
      </c>
      <c r="E69" s="919">
        <v>8.2530754313844934</v>
      </c>
      <c r="F69" s="919">
        <v>8.2786532858288346</v>
      </c>
      <c r="G69" s="1010">
        <v>8.4717395851661372</v>
      </c>
      <c r="H69" s="919">
        <v>4.0606337858279673</v>
      </c>
      <c r="I69" s="919">
        <v>4.5023974319737619</v>
      </c>
      <c r="J69" s="919">
        <v>4.524204734054063</v>
      </c>
      <c r="K69" s="919"/>
      <c r="L69" s="1010">
        <v>4.1472471524569974</v>
      </c>
      <c r="M69" s="1011">
        <v>4.6108933294409988</v>
      </c>
      <c r="N69" s="919">
        <v>15.204423780715709</v>
      </c>
      <c r="O69" s="919">
        <v>7.2700347270688681</v>
      </c>
      <c r="P69" s="919">
        <v>5.0890094333874094</v>
      </c>
      <c r="Q69" s="1011">
        <v>5.8570447024031376</v>
      </c>
    </row>
    <row r="70" spans="1:17" x14ac:dyDescent="0.25">
      <c r="A70" s="939" t="s">
        <v>984</v>
      </c>
      <c r="B70" s="919">
        <v>1.961349158529869</v>
      </c>
      <c r="C70" s="919" t="s">
        <v>921</v>
      </c>
      <c r="D70" s="919">
        <v>15.63171837995939</v>
      </c>
      <c r="E70" s="919"/>
      <c r="F70" s="919" t="s">
        <v>921</v>
      </c>
      <c r="G70" s="1010">
        <v>6.7422683066966949</v>
      </c>
      <c r="H70" s="919">
        <v>5.7097610759331872</v>
      </c>
      <c r="I70" s="919"/>
      <c r="J70" s="919"/>
      <c r="K70" s="919"/>
      <c r="L70" s="1010">
        <v>5.7097610759331872</v>
      </c>
      <c r="M70" s="1011">
        <v>6.6849420934074981</v>
      </c>
      <c r="N70" s="919">
        <v>14.007891364895769</v>
      </c>
      <c r="O70" s="919">
        <v>13.993116379143331</v>
      </c>
      <c r="P70" s="919" t="s">
        <v>921</v>
      </c>
      <c r="Q70" s="1011">
        <v>10.798861550314429</v>
      </c>
    </row>
    <row r="71" spans="1:17" x14ac:dyDescent="0.25">
      <c r="A71" s="939" t="s">
        <v>985</v>
      </c>
      <c r="B71" s="919">
        <v>8.3931770122176133</v>
      </c>
      <c r="C71" s="919">
        <v>5.8842915129507656</v>
      </c>
      <c r="D71" s="919">
        <v>7.8015925587248951</v>
      </c>
      <c r="E71" s="919" t="s">
        <v>921</v>
      </c>
      <c r="F71" s="919"/>
      <c r="G71" s="1010">
        <v>6.6934198069785973</v>
      </c>
      <c r="H71" s="919"/>
      <c r="I71" s="919" t="s">
        <v>921</v>
      </c>
      <c r="J71" s="919">
        <v>4.4834122902728808</v>
      </c>
      <c r="K71" s="919"/>
      <c r="L71" s="1010">
        <v>4.6083887737395868</v>
      </c>
      <c r="M71" s="1011">
        <v>6.0772377044993684</v>
      </c>
      <c r="N71" s="919">
        <v>5.5798746650174058</v>
      </c>
      <c r="O71" s="919">
        <v>5.7461724498278803</v>
      </c>
      <c r="P71" s="919">
        <v>6.6902694172688832</v>
      </c>
      <c r="Q71" s="1011">
        <v>5.7319576034643491</v>
      </c>
    </row>
    <row r="72" spans="1:17" x14ac:dyDescent="0.25">
      <c r="A72" s="939" t="s">
        <v>986</v>
      </c>
      <c r="B72" s="919">
        <v>11.98003855409848</v>
      </c>
      <c r="C72" s="919"/>
      <c r="D72" s="919" t="s">
        <v>921</v>
      </c>
      <c r="E72" s="919">
        <v>8</v>
      </c>
      <c r="F72" s="919"/>
      <c r="G72" s="1010">
        <v>9.631918323645424</v>
      </c>
      <c r="H72" s="919" t="s">
        <v>921</v>
      </c>
      <c r="I72" s="919"/>
      <c r="J72" s="919">
        <v>3.92032593015161</v>
      </c>
      <c r="K72" s="919"/>
      <c r="L72" s="1010">
        <v>5.2802802660689547</v>
      </c>
      <c r="M72" s="1011">
        <v>6.4709621494775567</v>
      </c>
      <c r="N72" s="919" t="s">
        <v>921</v>
      </c>
      <c r="O72" s="919" t="s">
        <v>921</v>
      </c>
      <c r="P72" s="919">
        <v>8.6551736058107771</v>
      </c>
      <c r="Q72" s="1011">
        <v>8.9917154196964759</v>
      </c>
    </row>
    <row r="73" spans="1:17" x14ac:dyDescent="0.25">
      <c r="A73" s="939" t="s">
        <v>987</v>
      </c>
      <c r="B73" s="919"/>
      <c r="C73" s="919"/>
      <c r="D73" s="919">
        <v>12.682783066349369</v>
      </c>
      <c r="E73" s="919"/>
      <c r="F73" s="919"/>
      <c r="G73" s="1010">
        <v>12.682783066349369</v>
      </c>
      <c r="H73" s="919" t="s">
        <v>921</v>
      </c>
      <c r="I73" s="919" t="s">
        <v>921</v>
      </c>
      <c r="J73" s="919"/>
      <c r="K73" s="919"/>
      <c r="L73" s="1010">
        <v>4.3120111894406801</v>
      </c>
      <c r="M73" s="1011">
        <v>4.4118875923929899</v>
      </c>
      <c r="N73" s="919" t="s">
        <v>921</v>
      </c>
      <c r="O73" s="919" t="s">
        <v>921</v>
      </c>
      <c r="P73" s="919" t="s">
        <v>921</v>
      </c>
      <c r="Q73" s="1011">
        <v>4.7456678545720763</v>
      </c>
    </row>
    <row r="74" spans="1:17" x14ac:dyDescent="0.25">
      <c r="A74" s="939" t="s">
        <v>988</v>
      </c>
      <c r="B74" s="919">
        <v>7.7520244688710562</v>
      </c>
      <c r="C74" s="919"/>
      <c r="D74" s="919">
        <v>13.246060574860159</v>
      </c>
      <c r="E74" s="919">
        <v>8.3721185612451858</v>
      </c>
      <c r="F74" s="919">
        <v>11.666076948765051</v>
      </c>
      <c r="G74" s="1010">
        <v>11.517607672709801</v>
      </c>
      <c r="H74" s="919">
        <v>2.885664586342167</v>
      </c>
      <c r="I74" s="919">
        <v>3.2188315257739002</v>
      </c>
      <c r="J74" s="919">
        <v>4.9210671745898571</v>
      </c>
      <c r="K74" s="919"/>
      <c r="L74" s="1010">
        <v>3.567325673457971</v>
      </c>
      <c r="M74" s="1011">
        <v>4.5959299829128311</v>
      </c>
      <c r="N74" s="919">
        <v>11.316214955551979</v>
      </c>
      <c r="O74" s="919">
        <v>11.230252641363091</v>
      </c>
      <c r="P74" s="919">
        <v>4.8884252863157238</v>
      </c>
      <c r="Q74" s="1011">
        <v>6.3466177348823516</v>
      </c>
    </row>
    <row r="75" spans="1:17" x14ac:dyDescent="0.25">
      <c r="A75" s="939" t="s">
        <v>989</v>
      </c>
      <c r="B75" s="919">
        <v>9.2097514217828778</v>
      </c>
      <c r="C75" s="919" t="s">
        <v>921</v>
      </c>
      <c r="D75" s="919">
        <v>10.799142344440041</v>
      </c>
      <c r="E75" s="919">
        <v>8</v>
      </c>
      <c r="F75" s="919">
        <v>12.11517074795351</v>
      </c>
      <c r="G75" s="1010">
        <v>9.401520164379761</v>
      </c>
      <c r="H75" s="919">
        <v>3.813082381969668</v>
      </c>
      <c r="I75" s="919"/>
      <c r="J75" s="919" t="s">
        <v>921</v>
      </c>
      <c r="K75" s="919"/>
      <c r="L75" s="1010">
        <v>3.8388172498215929</v>
      </c>
      <c r="M75" s="1011">
        <v>5.2942335098673681</v>
      </c>
      <c r="N75" s="919">
        <v>10.67098175891639</v>
      </c>
      <c r="O75" s="919">
        <v>8.2097004504682172</v>
      </c>
      <c r="P75" s="919">
        <v>6.2318393836169363</v>
      </c>
      <c r="Q75" s="1011">
        <v>8.6430109586388149</v>
      </c>
    </row>
    <row r="76" spans="1:17" x14ac:dyDescent="0.25">
      <c r="A76" s="939" t="s">
        <v>990</v>
      </c>
      <c r="B76" s="919">
        <v>12.96007362932483</v>
      </c>
      <c r="C76" s="919" t="s">
        <v>921</v>
      </c>
      <c r="D76" s="919" t="s">
        <v>921</v>
      </c>
      <c r="E76" s="919"/>
      <c r="F76" s="919" t="s">
        <v>921</v>
      </c>
      <c r="G76" s="1010">
        <v>10.508206005138041</v>
      </c>
      <c r="H76" s="919"/>
      <c r="I76" s="919"/>
      <c r="J76" s="919" t="s">
        <v>921</v>
      </c>
      <c r="K76" s="919"/>
      <c r="L76" s="1010" t="s">
        <v>921</v>
      </c>
      <c r="M76" s="1011">
        <v>10.257778525397571</v>
      </c>
      <c r="N76" s="919">
        <v>7.6679832362501026</v>
      </c>
      <c r="O76" s="919">
        <v>10.80537212634337</v>
      </c>
      <c r="P76" s="919"/>
      <c r="Q76" s="1011">
        <v>10.257778525397571</v>
      </c>
    </row>
    <row r="77" spans="1:17" x14ac:dyDescent="0.25">
      <c r="A77" s="939" t="s">
        <v>991</v>
      </c>
      <c r="B77" s="919"/>
      <c r="C77" s="919"/>
      <c r="D77" s="919" t="s">
        <v>921</v>
      </c>
      <c r="E77" s="919"/>
      <c r="F77" s="919"/>
      <c r="G77" s="1010" t="s">
        <v>921</v>
      </c>
      <c r="H77" s="919"/>
      <c r="I77" s="919"/>
      <c r="J77" s="919"/>
      <c r="K77" s="919"/>
      <c r="L77" s="1010"/>
      <c r="M77" s="1011" t="s">
        <v>921</v>
      </c>
      <c r="N77" s="919" t="s">
        <v>921</v>
      </c>
      <c r="O77" s="919"/>
      <c r="P77" s="919"/>
      <c r="Q77" s="1011" t="s">
        <v>921</v>
      </c>
    </row>
    <row r="78" spans="1:17" x14ac:dyDescent="0.25">
      <c r="A78" s="939" t="s">
        <v>992</v>
      </c>
      <c r="B78" s="919">
        <v>9.8483325760070883</v>
      </c>
      <c r="C78" s="919">
        <v>9.0272292539632275</v>
      </c>
      <c r="D78" s="919">
        <v>11.65288105058494</v>
      </c>
      <c r="E78" s="919">
        <v>7.7455661538234946</v>
      </c>
      <c r="F78" s="919">
        <v>17.19070818017277</v>
      </c>
      <c r="G78" s="1010">
        <v>9.5530207363922486</v>
      </c>
      <c r="H78" s="919"/>
      <c r="I78" s="919"/>
      <c r="J78" s="919">
        <v>3.9009999999999998</v>
      </c>
      <c r="K78" s="919"/>
      <c r="L78" s="1010">
        <v>3.9009999999999998</v>
      </c>
      <c r="M78" s="1011">
        <v>9.5451546398784739</v>
      </c>
      <c r="N78" s="919">
        <v>11.26915035368738</v>
      </c>
      <c r="O78" s="919">
        <v>9.722635695739422</v>
      </c>
      <c r="P78" s="919">
        <v>9.076741967568692</v>
      </c>
      <c r="Q78" s="1011">
        <v>9.8262395063426329</v>
      </c>
    </row>
    <row r="79" spans="1:17" x14ac:dyDescent="0.25">
      <c r="A79" s="939" t="s">
        <v>993</v>
      </c>
      <c r="B79" s="919"/>
      <c r="C79" s="919"/>
      <c r="D79" s="919"/>
      <c r="E79" s="919"/>
      <c r="F79" s="919"/>
      <c r="G79" s="1010"/>
      <c r="H79" s="919"/>
      <c r="I79" s="919"/>
      <c r="J79" s="919" t="s">
        <v>921</v>
      </c>
      <c r="K79" s="919"/>
      <c r="L79" s="1010" t="s">
        <v>921</v>
      </c>
      <c r="M79" s="1011" t="s">
        <v>921</v>
      </c>
      <c r="N79" s="919"/>
      <c r="O79" s="919"/>
      <c r="P79" s="919" t="s">
        <v>921</v>
      </c>
      <c r="Q79" s="1011" t="s">
        <v>921</v>
      </c>
    </row>
    <row r="80" spans="1:17" x14ac:dyDescent="0.25">
      <c r="A80" s="939" t="s">
        <v>994</v>
      </c>
      <c r="B80" s="919">
        <v>8.5932365255264216</v>
      </c>
      <c r="C80" s="919">
        <v>8.8642513823357838</v>
      </c>
      <c r="D80" s="919">
        <v>12.63322695608789</v>
      </c>
      <c r="E80" s="919">
        <v>7.8170375726187711</v>
      </c>
      <c r="F80" s="919">
        <v>10.74395000004154</v>
      </c>
      <c r="G80" s="1010">
        <v>9.1089057539167317</v>
      </c>
      <c r="H80" s="919" t="s">
        <v>921</v>
      </c>
      <c r="I80" s="919" t="s">
        <v>921</v>
      </c>
      <c r="J80" s="919">
        <v>3.97619619444629</v>
      </c>
      <c r="K80" s="919" t="s">
        <v>921</v>
      </c>
      <c r="L80" s="1010">
        <v>4.3083799168790753</v>
      </c>
      <c r="M80" s="1011">
        <v>6.0282831511810047</v>
      </c>
      <c r="N80" s="919">
        <v>12.1704618437356</v>
      </c>
      <c r="O80" s="919">
        <v>12.9407470736202</v>
      </c>
      <c r="P80" s="919">
        <v>8.6715798227985967</v>
      </c>
      <c r="Q80" s="1011">
        <v>9.0120803456597365</v>
      </c>
    </row>
    <row r="81" spans="1:17" x14ac:dyDescent="0.25">
      <c r="A81" s="939" t="s">
        <v>995</v>
      </c>
      <c r="B81" s="919" t="s">
        <v>921</v>
      </c>
      <c r="C81" s="919"/>
      <c r="D81" s="919"/>
      <c r="E81" s="919"/>
      <c r="F81" s="919"/>
      <c r="G81" s="1010" t="s">
        <v>921</v>
      </c>
      <c r="H81" s="919"/>
      <c r="I81" s="919" t="s">
        <v>921</v>
      </c>
      <c r="J81" s="919"/>
      <c r="K81" s="919"/>
      <c r="L81" s="1010" t="s">
        <v>921</v>
      </c>
      <c r="M81" s="1011">
        <v>3.509859178021784</v>
      </c>
      <c r="N81" s="919"/>
      <c r="O81" s="919"/>
      <c r="P81" s="919"/>
      <c r="Q81" s="1011"/>
    </row>
    <row r="82" spans="1:17" x14ac:dyDescent="0.25">
      <c r="A82" s="910" t="s">
        <v>137</v>
      </c>
      <c r="B82" s="941">
        <v>6.7250430553473057</v>
      </c>
      <c r="C82" s="941">
        <v>7.3031275692891358</v>
      </c>
      <c r="D82" s="941">
        <v>8.937082106576872</v>
      </c>
      <c r="E82" s="941">
        <v>7.8689891462486257</v>
      </c>
      <c r="F82" s="941">
        <v>7.9356289857436098</v>
      </c>
      <c r="G82" s="941">
        <v>7.7104304707317253</v>
      </c>
      <c r="H82" s="941">
        <v>3.5459788530006771</v>
      </c>
      <c r="I82" s="941">
        <v>4.5829016617046081</v>
      </c>
      <c r="J82" s="941">
        <v>4.2330509363656477</v>
      </c>
      <c r="K82" s="941">
        <v>4.3463438929492337</v>
      </c>
      <c r="L82" s="941">
        <v>4.1001947565902261</v>
      </c>
      <c r="M82" s="941">
        <v>5.4557224798528523</v>
      </c>
      <c r="N82" s="941">
        <v>9.7569824393486027</v>
      </c>
      <c r="O82" s="941">
        <v>9.0525779888094764</v>
      </c>
      <c r="P82" s="941">
        <v>6.0205619891416653</v>
      </c>
      <c r="Q82" s="941">
        <v>6.8808576661617344</v>
      </c>
    </row>
    <row r="83" spans="1:17" x14ac:dyDescent="0.25">
      <c r="A83" s="943" t="s">
        <v>996</v>
      </c>
      <c r="B83" s="930">
        <v>7.9416301604629842</v>
      </c>
      <c r="C83" s="930">
        <v>7.8118928582488936</v>
      </c>
      <c r="D83" s="930">
        <v>8.7348935219587158</v>
      </c>
      <c r="E83" s="930">
        <v>8.1036879271605642</v>
      </c>
      <c r="F83" s="930">
        <v>9.776999249079342</v>
      </c>
      <c r="G83" s="930">
        <v>8.217336305116179</v>
      </c>
      <c r="H83" s="930">
        <v>4.3186425821044789</v>
      </c>
      <c r="I83" s="930">
        <v>4.4839256759035866</v>
      </c>
      <c r="J83" s="930">
        <v>4.1990074917095619</v>
      </c>
      <c r="K83" s="930">
        <v>4.7519704934037366</v>
      </c>
      <c r="L83" s="930">
        <v>4.3463613486056749</v>
      </c>
      <c r="M83" s="930">
        <v>6.2800945188237636</v>
      </c>
      <c r="N83" s="930">
        <v>9.4536289840161132</v>
      </c>
      <c r="O83" s="930">
        <v>7.7104861212861238</v>
      </c>
      <c r="P83" s="930">
        <v>6.2302539773404506</v>
      </c>
      <c r="Q83" s="930">
        <v>7.4500024997465344</v>
      </c>
    </row>
  </sheetData>
  <mergeCells count="1">
    <mergeCell ref="A1:Q1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/>
  </sheetPr>
  <dimension ref="A1:Q83"/>
  <sheetViews>
    <sheetView topLeftCell="A16" workbookViewId="0">
      <selection activeCell="D15" sqref="D15"/>
    </sheetView>
  </sheetViews>
  <sheetFormatPr defaultRowHeight="15" x14ac:dyDescent="0.25"/>
  <cols>
    <col min="1" max="1" width="62.140625" style="905" bestFit="1" customWidth="1"/>
    <col min="2" max="17" width="26.28515625" style="905" customWidth="1"/>
    <col min="18" max="16384" width="9.140625" style="905"/>
  </cols>
  <sheetData>
    <row r="1" spans="1:17" ht="32.25" customHeight="1" x14ac:dyDescent="0.25">
      <c r="A1" s="1071" t="s">
        <v>1033</v>
      </c>
      <c r="B1" s="1072"/>
      <c r="C1" s="1072"/>
      <c r="D1" s="1072"/>
      <c r="E1" s="1072"/>
      <c r="F1" s="1072"/>
      <c r="G1" s="1072"/>
      <c r="H1" s="1072"/>
      <c r="I1" s="1072"/>
      <c r="J1" s="1072"/>
      <c r="K1" s="1072"/>
      <c r="L1" s="1072"/>
      <c r="M1" s="1072"/>
      <c r="N1" s="1072"/>
      <c r="O1" s="1072"/>
      <c r="P1" s="1072"/>
      <c r="Q1" s="1072"/>
    </row>
    <row r="2" spans="1:17" ht="28.9" customHeight="1" x14ac:dyDescent="0.25">
      <c r="A2" s="1005" t="s">
        <v>493</v>
      </c>
      <c r="B2" s="1006" t="s">
        <v>1022</v>
      </c>
      <c r="C2" s="1006" t="s">
        <v>1023</v>
      </c>
      <c r="D2" s="1006" t="s">
        <v>1024</v>
      </c>
      <c r="E2" s="1006" t="s">
        <v>1025</v>
      </c>
      <c r="F2" s="1006" t="s">
        <v>1026</v>
      </c>
      <c r="G2" s="1006" t="s">
        <v>1027</v>
      </c>
      <c r="H2" s="1007" t="s">
        <v>1028</v>
      </c>
      <c r="I2" s="1007" t="s">
        <v>1029</v>
      </c>
      <c r="J2" s="1007" t="s">
        <v>1030</v>
      </c>
      <c r="K2" s="1007" t="s">
        <v>1031</v>
      </c>
      <c r="L2" s="1007" t="s">
        <v>1032</v>
      </c>
      <c r="M2" s="1008" t="s">
        <v>139</v>
      </c>
      <c r="N2" s="1008" t="s">
        <v>917</v>
      </c>
      <c r="O2" s="1008" t="s">
        <v>918</v>
      </c>
      <c r="P2" s="1008" t="s">
        <v>919</v>
      </c>
      <c r="Q2" s="1008" t="s">
        <v>920</v>
      </c>
    </row>
    <row r="3" spans="1:17" x14ac:dyDescent="0.25">
      <c r="A3" s="1012" t="s">
        <v>110</v>
      </c>
      <c r="B3" s="924">
        <v>8.9022983868917329</v>
      </c>
      <c r="C3" s="924">
        <v>8.0777799372765493</v>
      </c>
      <c r="D3" s="924">
        <v>7.9840646357271252</v>
      </c>
      <c r="E3" s="924">
        <v>8.4615101425037409</v>
      </c>
      <c r="F3" s="924">
        <v>8.8889785072539471</v>
      </c>
      <c r="G3" s="924">
        <v>8.5126310521895583</v>
      </c>
      <c r="H3" s="924">
        <v>4.7743856194393404</v>
      </c>
      <c r="I3" s="924"/>
      <c r="J3" s="924" t="s">
        <v>921</v>
      </c>
      <c r="K3" s="924">
        <v>4.3789190907604008</v>
      </c>
      <c r="L3" s="924">
        <v>4.6493073707926262</v>
      </c>
      <c r="M3" s="924">
        <v>8.2594661021644118</v>
      </c>
      <c r="N3" s="924">
        <v>8.8812451114909567</v>
      </c>
      <c r="O3" s="924">
        <v>8.2987209995377746</v>
      </c>
      <c r="P3" s="924">
        <v>7.5332180526422192</v>
      </c>
      <c r="Q3" s="924">
        <v>8.2256308285479758</v>
      </c>
    </row>
    <row r="4" spans="1:17" x14ac:dyDescent="0.25">
      <c r="A4" s="962" t="s">
        <v>922</v>
      </c>
      <c r="B4" s="919">
        <v>8.9565480520445711</v>
      </c>
      <c r="C4" s="919">
        <v>8.0705705657526963</v>
      </c>
      <c r="D4" s="919">
        <v>7.9840646357271252</v>
      </c>
      <c r="E4" s="919">
        <v>8.4989684999382451</v>
      </c>
      <c r="F4" s="919">
        <v>8.8859720148491821</v>
      </c>
      <c r="G4" s="1009">
        <v>8.5301103120579835</v>
      </c>
      <c r="H4" s="919">
        <v>4.7743856194393404</v>
      </c>
      <c r="I4" s="919"/>
      <c r="J4" s="919" t="s">
        <v>921</v>
      </c>
      <c r="K4" s="919">
        <v>4.3789190907604008</v>
      </c>
      <c r="L4" s="1009">
        <v>4.6493073707926262</v>
      </c>
      <c r="M4" s="965">
        <v>8.2694324698560688</v>
      </c>
      <c r="N4" s="919">
        <v>8.8628914848751101</v>
      </c>
      <c r="O4" s="919">
        <v>8.4147452238120266</v>
      </c>
      <c r="P4" s="919">
        <v>7.5332180526422192</v>
      </c>
      <c r="Q4" s="965">
        <v>8.2356009367925971</v>
      </c>
    </row>
    <row r="5" spans="1:17" x14ac:dyDescent="0.25">
      <c r="A5" s="962" t="s">
        <v>923</v>
      </c>
      <c r="B5" s="919"/>
      <c r="C5" s="919"/>
      <c r="D5" s="919"/>
      <c r="E5" s="919"/>
      <c r="F5" s="919"/>
      <c r="G5" s="1009"/>
      <c r="H5" s="919"/>
      <c r="I5" s="919"/>
      <c r="J5" s="919"/>
      <c r="K5" s="919"/>
      <c r="L5" s="1009"/>
      <c r="M5" s="965"/>
      <c r="N5" s="919"/>
      <c r="O5" s="919"/>
      <c r="P5" s="919"/>
      <c r="Q5" s="965"/>
    </row>
    <row r="6" spans="1:17" x14ac:dyDescent="0.25">
      <c r="A6" s="962" t="s">
        <v>924</v>
      </c>
      <c r="B6" s="919"/>
      <c r="C6" s="919"/>
      <c r="D6" s="919"/>
      <c r="E6" s="919"/>
      <c r="F6" s="919"/>
      <c r="G6" s="1009"/>
      <c r="H6" s="919"/>
      <c r="I6" s="919"/>
      <c r="J6" s="919"/>
      <c r="K6" s="919"/>
      <c r="L6" s="1009"/>
      <c r="M6" s="965"/>
      <c r="N6" s="919"/>
      <c r="O6" s="919"/>
      <c r="P6" s="919"/>
      <c r="Q6" s="965"/>
    </row>
    <row r="7" spans="1:17" x14ac:dyDescent="0.25">
      <c r="A7" s="962" t="s">
        <v>925</v>
      </c>
      <c r="B7" s="919"/>
      <c r="C7" s="919"/>
      <c r="D7" s="919"/>
      <c r="E7" s="919"/>
      <c r="F7" s="919"/>
      <c r="G7" s="1009"/>
      <c r="H7" s="919"/>
      <c r="I7" s="919"/>
      <c r="J7" s="919"/>
      <c r="K7" s="919"/>
      <c r="L7" s="1009"/>
      <c r="M7" s="965"/>
      <c r="N7" s="919"/>
      <c r="O7" s="919"/>
      <c r="P7" s="919"/>
      <c r="Q7" s="965"/>
    </row>
    <row r="8" spans="1:17" x14ac:dyDescent="0.25">
      <c r="A8" s="962" t="s">
        <v>926</v>
      </c>
      <c r="B8" s="919"/>
      <c r="C8" s="919"/>
      <c r="D8" s="919"/>
      <c r="E8" s="919"/>
      <c r="F8" s="919"/>
      <c r="G8" s="1009"/>
      <c r="H8" s="919"/>
      <c r="I8" s="919"/>
      <c r="J8" s="919"/>
      <c r="K8" s="919"/>
      <c r="L8" s="1009"/>
      <c r="M8" s="965"/>
      <c r="N8" s="919"/>
      <c r="O8" s="919"/>
      <c r="P8" s="919"/>
      <c r="Q8" s="965"/>
    </row>
    <row r="9" spans="1:17" x14ac:dyDescent="0.25">
      <c r="A9" s="962" t="s">
        <v>927</v>
      </c>
      <c r="B9" s="919" t="s">
        <v>921</v>
      </c>
      <c r="C9" s="919" t="s">
        <v>921</v>
      </c>
      <c r="D9" s="919"/>
      <c r="E9" s="919">
        <v>7.52116037378069</v>
      </c>
      <c r="F9" s="919">
        <v>9.9247999999999994</v>
      </c>
      <c r="G9" s="1009">
        <v>7.8614193730168989</v>
      </c>
      <c r="H9" s="919"/>
      <c r="I9" s="919"/>
      <c r="J9" s="919"/>
      <c r="K9" s="919"/>
      <c r="L9" s="1009"/>
      <c r="M9" s="965">
        <v>7.8614193730168989</v>
      </c>
      <c r="N9" s="919">
        <v>10.31109814485521</v>
      </c>
      <c r="O9" s="919" t="s">
        <v>921</v>
      </c>
      <c r="P9" s="919"/>
      <c r="Q9" s="965">
        <v>7.8614193730168989</v>
      </c>
    </row>
    <row r="10" spans="1:17" x14ac:dyDescent="0.25">
      <c r="A10" s="1012" t="s">
        <v>928</v>
      </c>
      <c r="B10" s="924">
        <v>8.220395737391005</v>
      </c>
      <c r="C10" s="924">
        <v>8.1037931544429025</v>
      </c>
      <c r="D10" s="924">
        <v>9.0888680699371101</v>
      </c>
      <c r="E10" s="924">
        <v>8.1214674058654097</v>
      </c>
      <c r="F10" s="924">
        <v>8.6393209458343385</v>
      </c>
      <c r="G10" s="924">
        <v>8.1938867291248449</v>
      </c>
      <c r="H10" s="924">
        <v>4.5527495980628281</v>
      </c>
      <c r="I10" s="924">
        <v>4.2497450877486838</v>
      </c>
      <c r="J10" s="924">
        <v>4.464425497166193</v>
      </c>
      <c r="K10" s="924"/>
      <c r="L10" s="924">
        <v>4.3972246073947057</v>
      </c>
      <c r="M10" s="924">
        <v>5.9073850783108766</v>
      </c>
      <c r="N10" s="924">
        <v>7.8802974630241929</v>
      </c>
      <c r="O10" s="924">
        <v>6.5572569035601171</v>
      </c>
      <c r="P10" s="924">
        <v>6.4951556227620264</v>
      </c>
      <c r="Q10" s="924">
        <v>6.7073467962633853</v>
      </c>
    </row>
    <row r="11" spans="1:17" x14ac:dyDescent="0.25">
      <c r="A11" s="962" t="s">
        <v>929</v>
      </c>
      <c r="B11" s="919">
        <v>7.8805239381762942</v>
      </c>
      <c r="C11" s="919">
        <v>7.9686422409975828</v>
      </c>
      <c r="D11" s="919"/>
      <c r="E11" s="919">
        <v>8.7922507060124229</v>
      </c>
      <c r="F11" s="919">
        <v>8.6286424211380055</v>
      </c>
      <c r="G11" s="1009">
        <v>8.1517864953220869</v>
      </c>
      <c r="H11" s="919" t="s">
        <v>921</v>
      </c>
      <c r="I11" s="919"/>
      <c r="J11" s="919"/>
      <c r="K11" s="919"/>
      <c r="L11" s="1009" t="s">
        <v>921</v>
      </c>
      <c r="M11" s="965">
        <v>8.039463697839448</v>
      </c>
      <c r="N11" s="919">
        <v>9.5247290762981507</v>
      </c>
      <c r="O11" s="919">
        <v>9.339495113207354</v>
      </c>
      <c r="P11" s="919">
        <v>7.8237759124229402</v>
      </c>
      <c r="Q11" s="965">
        <v>8.1674745788533407</v>
      </c>
    </row>
    <row r="12" spans="1:17" x14ac:dyDescent="0.25">
      <c r="A12" s="962" t="s">
        <v>930</v>
      </c>
      <c r="B12" s="919">
        <v>11.18205371686294</v>
      </c>
      <c r="C12" s="919">
        <v>9.940242880123856</v>
      </c>
      <c r="D12" s="919"/>
      <c r="E12" s="919">
        <v>8.4880473734552666</v>
      </c>
      <c r="F12" s="919">
        <v>8.8791925897551458</v>
      </c>
      <c r="G12" s="1009">
        <v>9.3439691730134715</v>
      </c>
      <c r="H12" s="919">
        <v>4.36507762869216</v>
      </c>
      <c r="I12" s="919"/>
      <c r="J12" s="919">
        <v>4.0406118399573927</v>
      </c>
      <c r="K12" s="919"/>
      <c r="L12" s="1009">
        <v>4.05363288605687</v>
      </c>
      <c r="M12" s="965">
        <v>4.8954740107523289</v>
      </c>
      <c r="N12" s="919">
        <v>9.4343000074950503</v>
      </c>
      <c r="O12" s="919" t="s">
        <v>921</v>
      </c>
      <c r="P12" s="919">
        <v>6.9321708368860548</v>
      </c>
      <c r="Q12" s="965">
        <v>7.944368141974345</v>
      </c>
    </row>
    <row r="13" spans="1:17" x14ac:dyDescent="0.25">
      <c r="A13" s="962" t="s">
        <v>931</v>
      </c>
      <c r="B13" s="919"/>
      <c r="C13" s="919"/>
      <c r="D13" s="919"/>
      <c r="E13" s="919"/>
      <c r="F13" s="919"/>
      <c r="G13" s="1009"/>
      <c r="H13" s="919"/>
      <c r="I13" s="919"/>
      <c r="J13" s="919"/>
      <c r="K13" s="919"/>
      <c r="L13" s="1009"/>
      <c r="M13" s="965"/>
      <c r="N13" s="919"/>
      <c r="O13" s="919"/>
      <c r="P13" s="919"/>
      <c r="Q13" s="965"/>
    </row>
    <row r="14" spans="1:17" x14ac:dyDescent="0.25">
      <c r="A14" s="962" t="s">
        <v>932</v>
      </c>
      <c r="B14" s="919"/>
      <c r="C14" s="919"/>
      <c r="D14" s="919"/>
      <c r="E14" s="919"/>
      <c r="F14" s="919"/>
      <c r="G14" s="1009"/>
      <c r="H14" s="919"/>
      <c r="I14" s="919"/>
      <c r="J14" s="919"/>
      <c r="K14" s="919"/>
      <c r="L14" s="1009"/>
      <c r="M14" s="965"/>
      <c r="N14" s="919"/>
      <c r="O14" s="919"/>
      <c r="P14" s="919"/>
      <c r="Q14" s="965"/>
    </row>
    <row r="15" spans="1:17" x14ac:dyDescent="0.25">
      <c r="A15" s="962" t="s">
        <v>933</v>
      </c>
      <c r="B15" s="919" t="s">
        <v>921</v>
      </c>
      <c r="C15" s="919" t="s">
        <v>921</v>
      </c>
      <c r="D15" s="919" t="s">
        <v>921</v>
      </c>
      <c r="E15" s="919">
        <v>9.020714023083908</v>
      </c>
      <c r="F15" s="919">
        <v>9.5815756333943281</v>
      </c>
      <c r="G15" s="1009">
        <v>9.4770439446372716</v>
      </c>
      <c r="H15" s="919"/>
      <c r="I15" s="919"/>
      <c r="J15" s="919"/>
      <c r="K15" s="919"/>
      <c r="L15" s="1009"/>
      <c r="M15" s="965">
        <v>9.4770439446372716</v>
      </c>
      <c r="N15" s="919">
        <v>10.65684784123734</v>
      </c>
      <c r="O15" s="919"/>
      <c r="P15" s="919">
        <v>8.6231000000000009</v>
      </c>
      <c r="Q15" s="965">
        <v>9.4770439446372716</v>
      </c>
    </row>
    <row r="16" spans="1:17" x14ac:dyDescent="0.25">
      <c r="A16" s="962" t="s">
        <v>934</v>
      </c>
      <c r="B16" s="919">
        <v>7.7714590402084314</v>
      </c>
      <c r="C16" s="919">
        <v>7.8216080270320587</v>
      </c>
      <c r="D16" s="919" t="s">
        <v>921</v>
      </c>
      <c r="E16" s="919">
        <v>8.1611895368722696</v>
      </c>
      <c r="F16" s="919">
        <v>8.4869823437851686</v>
      </c>
      <c r="G16" s="1009">
        <v>7.9923114289974677</v>
      </c>
      <c r="H16" s="919"/>
      <c r="I16" s="919" t="s">
        <v>921</v>
      </c>
      <c r="J16" s="919">
        <v>4.4013999999999998</v>
      </c>
      <c r="K16" s="919"/>
      <c r="L16" s="1009">
        <v>4.7185598794714974</v>
      </c>
      <c r="M16" s="965">
        <v>7.0674787849594836</v>
      </c>
      <c r="N16" s="919">
        <v>7.5127535228345819</v>
      </c>
      <c r="O16" s="919">
        <v>7.532239501418605</v>
      </c>
      <c r="P16" s="919">
        <v>6.8534520157915564</v>
      </c>
      <c r="Q16" s="965">
        <v>7.0564796004208423</v>
      </c>
    </row>
    <row r="17" spans="1:17" x14ac:dyDescent="0.25">
      <c r="A17" s="962" t="s">
        <v>935</v>
      </c>
      <c r="B17" s="919">
        <v>9.1632668491778944</v>
      </c>
      <c r="C17" s="919">
        <v>8.3568972472993241</v>
      </c>
      <c r="D17" s="919" t="s">
        <v>921</v>
      </c>
      <c r="E17" s="919">
        <v>7.8567039113294799</v>
      </c>
      <c r="F17" s="919">
        <v>7.5854496553765554</v>
      </c>
      <c r="G17" s="1009">
        <v>8.0325513190825308</v>
      </c>
      <c r="H17" s="919">
        <v>4.576224712186316</v>
      </c>
      <c r="I17" s="919">
        <v>4.1810290799001839</v>
      </c>
      <c r="J17" s="919">
        <v>5.4022592931600482</v>
      </c>
      <c r="K17" s="919"/>
      <c r="L17" s="1009">
        <v>4.5088731223222487</v>
      </c>
      <c r="M17" s="965">
        <v>5.4045038086232733</v>
      </c>
      <c r="N17" s="919">
        <v>5.9346800159252204</v>
      </c>
      <c r="O17" s="919">
        <v>6.1167621340653406</v>
      </c>
      <c r="P17" s="919">
        <v>4.8415745772559697</v>
      </c>
      <c r="Q17" s="965">
        <v>5.5402997784777881</v>
      </c>
    </row>
    <row r="18" spans="1:17" x14ac:dyDescent="0.25">
      <c r="A18" s="962" t="s">
        <v>1034</v>
      </c>
      <c r="B18" s="919"/>
      <c r="C18" s="919"/>
      <c r="D18" s="919"/>
      <c r="E18" s="919"/>
      <c r="F18" s="919"/>
      <c r="G18" s="1009"/>
      <c r="H18" s="919"/>
      <c r="I18" s="919"/>
      <c r="J18" s="919"/>
      <c r="K18" s="919"/>
      <c r="L18" s="1009"/>
      <c r="M18" s="965"/>
      <c r="N18" s="919"/>
      <c r="O18" s="919"/>
      <c r="P18" s="919"/>
      <c r="Q18" s="965"/>
    </row>
    <row r="19" spans="1:17" x14ac:dyDescent="0.25">
      <c r="A19" s="962" t="s">
        <v>937</v>
      </c>
      <c r="B19" s="919"/>
      <c r="C19" s="919"/>
      <c r="D19" s="919"/>
      <c r="E19" s="919"/>
      <c r="F19" s="919"/>
      <c r="G19" s="1009"/>
      <c r="H19" s="919"/>
      <c r="I19" s="919"/>
      <c r="J19" s="919"/>
      <c r="K19" s="919"/>
      <c r="L19" s="1009"/>
      <c r="M19" s="965"/>
      <c r="N19" s="919"/>
      <c r="O19" s="919"/>
      <c r="P19" s="919"/>
      <c r="Q19" s="965"/>
    </row>
    <row r="20" spans="1:17" x14ac:dyDescent="0.25">
      <c r="A20" s="962" t="s">
        <v>1035</v>
      </c>
      <c r="B20" s="919"/>
      <c r="C20" s="919"/>
      <c r="D20" s="919"/>
      <c r="E20" s="919"/>
      <c r="F20" s="919"/>
      <c r="G20" s="1009"/>
      <c r="H20" s="919"/>
      <c r="I20" s="919"/>
      <c r="J20" s="919"/>
      <c r="K20" s="919"/>
      <c r="L20" s="1009"/>
      <c r="M20" s="965"/>
      <c r="N20" s="919"/>
      <c r="O20" s="919"/>
      <c r="P20" s="919"/>
      <c r="Q20" s="965"/>
    </row>
    <row r="21" spans="1:17" x14ac:dyDescent="0.25">
      <c r="A21" s="962" t="s">
        <v>1036</v>
      </c>
      <c r="B21" s="919" t="s">
        <v>921</v>
      </c>
      <c r="C21" s="919"/>
      <c r="D21" s="919" t="s">
        <v>921</v>
      </c>
      <c r="E21" s="919" t="s">
        <v>921</v>
      </c>
      <c r="F21" s="919"/>
      <c r="G21" s="1009">
        <v>8.468342053295407</v>
      </c>
      <c r="H21" s="919"/>
      <c r="I21" s="919"/>
      <c r="J21" s="919"/>
      <c r="K21" s="919"/>
      <c r="L21" s="1009"/>
      <c r="M21" s="965">
        <v>8.468342053295407</v>
      </c>
      <c r="N21" s="919"/>
      <c r="O21" s="919" t="s">
        <v>921</v>
      </c>
      <c r="P21" s="919"/>
      <c r="Q21" s="965" t="s">
        <v>921</v>
      </c>
    </row>
    <row r="22" spans="1:17" x14ac:dyDescent="0.25">
      <c r="A22" s="1012" t="s">
        <v>229</v>
      </c>
      <c r="B22" s="924"/>
      <c r="C22" s="924"/>
      <c r="D22" s="924"/>
      <c r="E22" s="924"/>
      <c r="F22" s="924"/>
      <c r="G22" s="924"/>
      <c r="H22" s="924"/>
      <c r="I22" s="924"/>
      <c r="J22" s="924"/>
      <c r="K22" s="924"/>
      <c r="L22" s="924"/>
      <c r="M22" s="924"/>
      <c r="N22" s="924"/>
      <c r="O22" s="924"/>
      <c r="P22" s="924"/>
      <c r="Q22" s="924"/>
    </row>
    <row r="23" spans="1:17" x14ac:dyDescent="0.25">
      <c r="A23" s="962" t="s">
        <v>941</v>
      </c>
      <c r="B23" s="919">
        <v>9.1728865662851451</v>
      </c>
      <c r="C23" s="919">
        <v>9.4311182160134894</v>
      </c>
      <c r="D23" s="919" t="s">
        <v>921</v>
      </c>
      <c r="E23" s="919">
        <v>8.9961604021433583</v>
      </c>
      <c r="F23" s="919">
        <v>10.67254224111489</v>
      </c>
      <c r="G23" s="1009">
        <v>9.2583266283219405</v>
      </c>
      <c r="H23" s="919" t="s">
        <v>921</v>
      </c>
      <c r="I23" s="919"/>
      <c r="J23" s="919"/>
      <c r="K23" s="919" t="s">
        <v>921</v>
      </c>
      <c r="L23" s="1009">
        <v>5.3149116682483228</v>
      </c>
      <c r="M23" s="965">
        <v>8.9983811267755573</v>
      </c>
      <c r="N23" s="919">
        <v>9.4989751282094002</v>
      </c>
      <c r="O23" s="919">
        <v>8.9368524772303104</v>
      </c>
      <c r="P23" s="919" t="s">
        <v>921</v>
      </c>
      <c r="Q23" s="965">
        <v>9.256482498903793</v>
      </c>
    </row>
    <row r="24" spans="1:17" x14ac:dyDescent="0.25">
      <c r="A24" s="962" t="s">
        <v>942</v>
      </c>
      <c r="B24" s="919">
        <v>10.223018107493539</v>
      </c>
      <c r="C24" s="919">
        <v>10.08243787867049</v>
      </c>
      <c r="D24" s="919"/>
      <c r="E24" s="919">
        <v>8.8460946708815573</v>
      </c>
      <c r="F24" s="919">
        <v>10.140312459836551</v>
      </c>
      <c r="G24" s="1009">
        <v>8.9217462561076566</v>
      </c>
      <c r="H24" s="919" t="s">
        <v>921</v>
      </c>
      <c r="I24" s="919"/>
      <c r="J24" s="919"/>
      <c r="K24" s="919" t="s">
        <v>921</v>
      </c>
      <c r="L24" s="1009">
        <v>5.3149116682483228</v>
      </c>
      <c r="M24" s="965">
        <v>8.4740137201044359</v>
      </c>
      <c r="N24" s="919">
        <v>9.0161617099834306</v>
      </c>
      <c r="O24" s="919">
        <v>8.8391204811463293</v>
      </c>
      <c r="P24" s="919"/>
      <c r="Q24" s="965">
        <v>8.9125832361245241</v>
      </c>
    </row>
    <row r="25" spans="1:17" x14ac:dyDescent="0.25">
      <c r="A25" s="962" t="s">
        <v>943</v>
      </c>
      <c r="B25" s="919">
        <v>9.3801128865696999</v>
      </c>
      <c r="C25" s="919" t="s">
        <v>921</v>
      </c>
      <c r="D25" s="919"/>
      <c r="E25" s="919">
        <v>9.7456575343198093</v>
      </c>
      <c r="F25" s="919">
        <v>9.6184643656918354</v>
      </c>
      <c r="G25" s="1009">
        <v>9.689797879566024</v>
      </c>
      <c r="H25" s="919"/>
      <c r="I25" s="919"/>
      <c r="J25" s="919"/>
      <c r="K25" s="919"/>
      <c r="L25" s="1009"/>
      <c r="M25" s="965">
        <v>9.689797879566024</v>
      </c>
      <c r="N25" s="919">
        <v>9.7428434339557448</v>
      </c>
      <c r="O25" s="919"/>
      <c r="P25" s="919"/>
      <c r="Q25" s="965">
        <v>9.7428434339557448</v>
      </c>
    </row>
    <row r="26" spans="1:17" x14ac:dyDescent="0.25">
      <c r="A26" s="962" t="s">
        <v>944</v>
      </c>
      <c r="B26" s="919"/>
      <c r="C26" s="919"/>
      <c r="D26" s="919"/>
      <c r="E26" s="919"/>
      <c r="F26" s="919"/>
      <c r="G26" s="1009"/>
      <c r="H26" s="919"/>
      <c r="I26" s="919"/>
      <c r="J26" s="919"/>
      <c r="K26" s="919"/>
      <c r="L26" s="1009"/>
      <c r="M26" s="965"/>
      <c r="N26" s="919"/>
      <c r="O26" s="919"/>
      <c r="P26" s="919"/>
      <c r="Q26" s="965"/>
    </row>
    <row r="27" spans="1:17" x14ac:dyDescent="0.25">
      <c r="A27" s="962" t="s">
        <v>1037</v>
      </c>
      <c r="B27" s="919"/>
      <c r="C27" s="919"/>
      <c r="D27" s="919"/>
      <c r="E27" s="919"/>
      <c r="F27" s="919"/>
      <c r="G27" s="1009"/>
      <c r="H27" s="919"/>
      <c r="I27" s="919"/>
      <c r="J27" s="919"/>
      <c r="K27" s="919"/>
      <c r="L27" s="1009"/>
      <c r="M27" s="965"/>
      <c r="N27" s="919"/>
      <c r="O27" s="919"/>
      <c r="P27" s="919"/>
      <c r="Q27" s="965"/>
    </row>
    <row r="28" spans="1:17" x14ac:dyDescent="0.25">
      <c r="A28" s="962" t="s">
        <v>1038</v>
      </c>
      <c r="B28" s="919">
        <v>9.2300632679420289</v>
      </c>
      <c r="C28" s="919" t="s">
        <v>921</v>
      </c>
      <c r="D28" s="919" t="s">
        <v>921</v>
      </c>
      <c r="E28" s="919">
        <v>10.232606501349229</v>
      </c>
      <c r="F28" s="919">
        <v>11.110175422069551</v>
      </c>
      <c r="G28" s="1009">
        <v>9.8372917058206131</v>
      </c>
      <c r="H28" s="919"/>
      <c r="I28" s="919"/>
      <c r="J28" s="919"/>
      <c r="K28" s="919"/>
      <c r="L28" s="1009"/>
      <c r="M28" s="965">
        <v>9.8372917058206131</v>
      </c>
      <c r="N28" s="919">
        <v>9.8096155666912885</v>
      </c>
      <c r="O28" s="919">
        <v>9.9708101537067098</v>
      </c>
      <c r="P28" s="919"/>
      <c r="Q28" s="965">
        <v>9.8372917058206131</v>
      </c>
    </row>
    <row r="29" spans="1:17" x14ac:dyDescent="0.25">
      <c r="A29" s="962" t="s">
        <v>947</v>
      </c>
      <c r="B29" s="919"/>
      <c r="C29" s="919"/>
      <c r="D29" s="919"/>
      <c r="E29" s="919">
        <v>9.9247999999999994</v>
      </c>
      <c r="F29" s="919">
        <v>9.9247999999999994</v>
      </c>
      <c r="G29" s="1009">
        <v>9.9247999999999994</v>
      </c>
      <c r="H29" s="919"/>
      <c r="I29" s="919"/>
      <c r="J29" s="919"/>
      <c r="K29" s="919"/>
      <c r="L29" s="1009"/>
      <c r="M29" s="965">
        <v>9.9247999999999994</v>
      </c>
      <c r="N29" s="919">
        <v>9.9247999999999994</v>
      </c>
      <c r="O29" s="919">
        <v>9.9247999999999994</v>
      </c>
      <c r="P29" s="919"/>
      <c r="Q29" s="965">
        <v>9.9247999999999994</v>
      </c>
    </row>
    <row r="30" spans="1:17" x14ac:dyDescent="0.25">
      <c r="A30" s="962" t="s">
        <v>1039</v>
      </c>
      <c r="B30" s="919"/>
      <c r="C30" s="919"/>
      <c r="D30" s="919"/>
      <c r="E30" s="919"/>
      <c r="F30" s="919"/>
      <c r="G30" s="1009"/>
      <c r="H30" s="919"/>
      <c r="I30" s="919"/>
      <c r="J30" s="919"/>
      <c r="K30" s="919"/>
      <c r="L30" s="1009"/>
      <c r="M30" s="965"/>
      <c r="N30" s="919"/>
      <c r="O30" s="919"/>
      <c r="P30" s="919"/>
      <c r="Q30" s="965"/>
    </row>
    <row r="31" spans="1:17" x14ac:dyDescent="0.25">
      <c r="A31" s="962" t="s">
        <v>1040</v>
      </c>
      <c r="B31" s="919"/>
      <c r="C31" s="919"/>
      <c r="D31" s="919"/>
      <c r="E31" s="919"/>
      <c r="F31" s="919"/>
      <c r="G31" s="1009"/>
      <c r="H31" s="919"/>
      <c r="I31" s="919"/>
      <c r="J31" s="919"/>
      <c r="K31" s="919"/>
      <c r="L31" s="1009"/>
      <c r="M31" s="965"/>
      <c r="N31" s="919"/>
      <c r="O31" s="919"/>
      <c r="P31" s="919"/>
      <c r="Q31" s="965"/>
    </row>
    <row r="32" spans="1:17" x14ac:dyDescent="0.25">
      <c r="A32" s="962" t="s">
        <v>950</v>
      </c>
      <c r="B32" s="919"/>
      <c r="C32" s="919" t="s">
        <v>921</v>
      </c>
      <c r="D32" s="919"/>
      <c r="E32" s="919">
        <v>10.26432907472582</v>
      </c>
      <c r="F32" s="919" t="s">
        <v>921</v>
      </c>
      <c r="G32" s="1009">
        <v>10.327499058294361</v>
      </c>
      <c r="H32" s="919"/>
      <c r="I32" s="919"/>
      <c r="J32" s="919"/>
      <c r="K32" s="919"/>
      <c r="L32" s="1009"/>
      <c r="M32" s="965">
        <v>10.327499058294361</v>
      </c>
      <c r="N32" s="919">
        <v>10.327499058294361</v>
      </c>
      <c r="O32" s="919"/>
      <c r="P32" s="919"/>
      <c r="Q32" s="965">
        <v>10.327499058294361</v>
      </c>
    </row>
    <row r="33" spans="1:17" x14ac:dyDescent="0.25">
      <c r="A33" s="962" t="s">
        <v>951</v>
      </c>
      <c r="B33" s="919">
        <v>10.442397015288631</v>
      </c>
      <c r="C33" s="919" t="s">
        <v>921</v>
      </c>
      <c r="D33" s="919"/>
      <c r="E33" s="919">
        <v>6.6974</v>
      </c>
      <c r="F33" s="919"/>
      <c r="G33" s="1009">
        <v>9.9979711623476764</v>
      </c>
      <c r="H33" s="919"/>
      <c r="I33" s="919"/>
      <c r="J33" s="919"/>
      <c r="K33" s="919"/>
      <c r="L33" s="1009"/>
      <c r="M33" s="965">
        <v>9.9979711623476764</v>
      </c>
      <c r="N33" s="919">
        <v>9.9979711623476764</v>
      </c>
      <c r="O33" s="919"/>
      <c r="P33" s="919"/>
      <c r="Q33" s="965">
        <v>9.9979711623476764</v>
      </c>
    </row>
    <row r="34" spans="1:17" x14ac:dyDescent="0.25">
      <c r="A34" s="1012" t="s">
        <v>115</v>
      </c>
      <c r="B34" s="924" t="s">
        <v>921</v>
      </c>
      <c r="C34" s="924" t="s">
        <v>921</v>
      </c>
      <c r="D34" s="924"/>
      <c r="E34" s="924"/>
      <c r="F34" s="924"/>
      <c r="G34" s="924" t="s">
        <v>921</v>
      </c>
      <c r="H34" s="924"/>
      <c r="I34" s="924"/>
      <c r="J34" s="924"/>
      <c r="K34" s="924"/>
      <c r="L34" s="924"/>
      <c r="M34" s="924" t="s">
        <v>921</v>
      </c>
      <c r="N34" s="924"/>
      <c r="O34" s="924" t="s">
        <v>921</v>
      </c>
      <c r="P34" s="924" t="s">
        <v>921</v>
      </c>
      <c r="Q34" s="924" t="s">
        <v>921</v>
      </c>
    </row>
    <row r="35" spans="1:17" x14ac:dyDescent="0.25">
      <c r="A35" s="962" t="s">
        <v>952</v>
      </c>
      <c r="B35" s="919">
        <v>9.4545395128254928</v>
      </c>
      <c r="C35" s="919">
        <v>8.0721265409789353</v>
      </c>
      <c r="D35" s="919">
        <v>7.8516041061009156</v>
      </c>
      <c r="E35" s="919">
        <v>8.5927618477639083</v>
      </c>
      <c r="F35" s="919">
        <v>9.7577493933098989</v>
      </c>
      <c r="G35" s="1009">
        <v>8.713179400961959</v>
      </c>
      <c r="H35" s="919">
        <v>4.6484991248957526</v>
      </c>
      <c r="I35" s="919"/>
      <c r="J35" s="919">
        <v>4.0144895757207069</v>
      </c>
      <c r="K35" s="919">
        <v>4.5821753507018252</v>
      </c>
      <c r="L35" s="1009">
        <v>4.1742502741816176</v>
      </c>
      <c r="M35" s="965">
        <v>6.4780158198970206</v>
      </c>
      <c r="N35" s="919">
        <v>9.5504949356209554</v>
      </c>
      <c r="O35" s="919">
        <v>8.6713446812051522</v>
      </c>
      <c r="P35" s="919">
        <v>5.962540419519585</v>
      </c>
      <c r="Q35" s="965">
        <v>6.7957161565477149</v>
      </c>
    </row>
    <row r="36" spans="1:17" x14ac:dyDescent="0.25">
      <c r="A36" s="962" t="s">
        <v>953</v>
      </c>
      <c r="B36" s="919">
        <v>9.7370291197565528</v>
      </c>
      <c r="C36" s="919">
        <v>7.961060659896444</v>
      </c>
      <c r="D36" s="919">
        <v>7.892418049567266</v>
      </c>
      <c r="E36" s="919">
        <v>8.4888770777966958</v>
      </c>
      <c r="F36" s="919">
        <v>9.9247999999999994</v>
      </c>
      <c r="G36" s="1009">
        <v>8.4279830457927272</v>
      </c>
      <c r="H36" s="919"/>
      <c r="I36" s="919"/>
      <c r="J36" s="919"/>
      <c r="K36" s="919"/>
      <c r="L36" s="1009"/>
      <c r="M36" s="965">
        <v>8.4279830457927272</v>
      </c>
      <c r="N36" s="919">
        <v>10.32722556563437</v>
      </c>
      <c r="O36" s="919">
        <v>7.9005895768769303</v>
      </c>
      <c r="P36" s="919">
        <v>8.3009412257162776</v>
      </c>
      <c r="Q36" s="965">
        <v>8.4702531490371147</v>
      </c>
    </row>
    <row r="37" spans="1:17" x14ac:dyDescent="0.25">
      <c r="A37" s="962" t="s">
        <v>954</v>
      </c>
      <c r="B37" s="919">
        <v>9.057163026470711</v>
      </c>
      <c r="C37" s="919">
        <v>8.6244952238536818</v>
      </c>
      <c r="D37" s="919" t="s">
        <v>921</v>
      </c>
      <c r="E37" s="919">
        <v>9.1526746826027718</v>
      </c>
      <c r="F37" s="919">
        <v>9.6721543247175692</v>
      </c>
      <c r="G37" s="1009">
        <v>8.9336312257767876</v>
      </c>
      <c r="H37" s="919" t="s">
        <v>921</v>
      </c>
      <c r="I37" s="919"/>
      <c r="J37" s="919" t="s">
        <v>921</v>
      </c>
      <c r="K37" s="919">
        <v>4.5821753507018252</v>
      </c>
      <c r="L37" s="1009">
        <v>4.5629278082282738</v>
      </c>
      <c r="M37" s="965">
        <v>6.3280692812074948</v>
      </c>
      <c r="N37" s="919">
        <v>9.2021115954160742</v>
      </c>
      <c r="O37" s="919">
        <v>7.3681032802389188</v>
      </c>
      <c r="P37" s="919">
        <v>5.2078587251968154</v>
      </c>
      <c r="Q37" s="965">
        <v>6.3027524012874876</v>
      </c>
    </row>
    <row r="38" spans="1:17" x14ac:dyDescent="0.25">
      <c r="A38" s="962" t="s">
        <v>1041</v>
      </c>
      <c r="B38" s="919" t="s">
        <v>921</v>
      </c>
      <c r="C38" s="919"/>
      <c r="D38" s="919" t="s">
        <v>921</v>
      </c>
      <c r="E38" s="919">
        <v>9.9247999999999994</v>
      </c>
      <c r="F38" s="919">
        <v>9.9247999999999994</v>
      </c>
      <c r="G38" s="1009">
        <v>7.8594945212445886</v>
      </c>
      <c r="H38" s="919"/>
      <c r="I38" s="919"/>
      <c r="J38" s="919" t="s">
        <v>921</v>
      </c>
      <c r="K38" s="919"/>
      <c r="L38" s="1009" t="s">
        <v>921</v>
      </c>
      <c r="M38" s="965">
        <v>4.3677136978686333</v>
      </c>
      <c r="N38" s="919">
        <v>12.187008921856011</v>
      </c>
      <c r="O38" s="919" t="s">
        <v>921</v>
      </c>
      <c r="P38" s="919"/>
      <c r="Q38" s="965">
        <v>10.396486830191311</v>
      </c>
    </row>
    <row r="39" spans="1:17" x14ac:dyDescent="0.25">
      <c r="A39" s="962" t="s">
        <v>1042</v>
      </c>
      <c r="B39" s="919"/>
      <c r="C39" s="919"/>
      <c r="D39" s="919"/>
      <c r="E39" s="919" t="s">
        <v>921</v>
      </c>
      <c r="F39" s="919">
        <v>10.26315208214419</v>
      </c>
      <c r="G39" s="1009">
        <v>10.1357128196817</v>
      </c>
      <c r="H39" s="919"/>
      <c r="I39" s="919"/>
      <c r="J39" s="919"/>
      <c r="K39" s="919"/>
      <c r="L39" s="1009"/>
      <c r="M39" s="965">
        <v>10.1357128196817</v>
      </c>
      <c r="N39" s="919">
        <v>10.1357128196817</v>
      </c>
      <c r="O39" s="919"/>
      <c r="P39" s="919"/>
      <c r="Q39" s="965">
        <v>10.1357128196817</v>
      </c>
    </row>
    <row r="40" spans="1:17" x14ac:dyDescent="0.25">
      <c r="A40" s="962" t="s">
        <v>956</v>
      </c>
      <c r="B40" s="919"/>
      <c r="C40" s="919"/>
      <c r="D40" s="919"/>
      <c r="E40" s="919" t="s">
        <v>921</v>
      </c>
      <c r="F40" s="919">
        <v>8.5871495157609186</v>
      </c>
      <c r="G40" s="1009">
        <v>8.678493439779901</v>
      </c>
      <c r="H40" s="919"/>
      <c r="I40" s="919"/>
      <c r="J40" s="919"/>
      <c r="K40" s="919"/>
      <c r="L40" s="1009"/>
      <c r="M40" s="965">
        <v>8.678493439779901</v>
      </c>
      <c r="N40" s="919">
        <v>8.678493439779901</v>
      </c>
      <c r="O40" s="919"/>
      <c r="P40" s="919"/>
      <c r="Q40" s="965">
        <v>8.678493439779901</v>
      </c>
    </row>
    <row r="41" spans="1:17" x14ac:dyDescent="0.25">
      <c r="A41" s="962" t="s">
        <v>957</v>
      </c>
      <c r="B41" s="919" t="s">
        <v>921</v>
      </c>
      <c r="C41" s="919"/>
      <c r="D41" s="919"/>
      <c r="E41" s="919">
        <v>9.8805514850160527</v>
      </c>
      <c r="F41" s="919">
        <v>9.9247999999999994</v>
      </c>
      <c r="G41" s="1009">
        <v>10.35640183181634</v>
      </c>
      <c r="H41" s="919" t="s">
        <v>921</v>
      </c>
      <c r="I41" s="919"/>
      <c r="J41" s="919"/>
      <c r="K41" s="919"/>
      <c r="L41" s="1009" t="s">
        <v>921</v>
      </c>
      <c r="M41" s="965">
        <v>9.8645307570085183</v>
      </c>
      <c r="N41" s="919">
        <v>9.8955733267098207</v>
      </c>
      <c r="O41" s="919">
        <v>9.8594925194021652</v>
      </c>
      <c r="P41" s="919"/>
      <c r="Q41" s="965">
        <v>9.8645307570085183</v>
      </c>
    </row>
    <row r="42" spans="1:17" x14ac:dyDescent="0.25">
      <c r="A42" s="962" t="s">
        <v>958</v>
      </c>
      <c r="B42" s="919" t="s">
        <v>921</v>
      </c>
      <c r="C42" s="919"/>
      <c r="D42" s="919"/>
      <c r="E42" s="919"/>
      <c r="F42" s="919"/>
      <c r="G42" s="1009" t="s">
        <v>921</v>
      </c>
      <c r="H42" s="919"/>
      <c r="I42" s="919"/>
      <c r="J42" s="919"/>
      <c r="K42" s="919"/>
      <c r="L42" s="1009"/>
      <c r="M42" s="965" t="s">
        <v>921</v>
      </c>
      <c r="N42" s="919" t="s">
        <v>921</v>
      </c>
      <c r="O42" s="919"/>
      <c r="P42" s="919"/>
      <c r="Q42" s="965" t="s">
        <v>921</v>
      </c>
    </row>
    <row r="43" spans="1:17" x14ac:dyDescent="0.25">
      <c r="A43" s="962" t="s">
        <v>1043</v>
      </c>
      <c r="B43" s="919"/>
      <c r="C43" s="919"/>
      <c r="D43" s="919"/>
      <c r="E43" s="919"/>
      <c r="F43" s="919"/>
      <c r="G43" s="1009"/>
      <c r="H43" s="919"/>
      <c r="I43" s="919"/>
      <c r="J43" s="919"/>
      <c r="K43" s="919"/>
      <c r="L43" s="1009"/>
      <c r="M43" s="965"/>
      <c r="N43" s="919"/>
      <c r="O43" s="919"/>
      <c r="P43" s="919"/>
      <c r="Q43" s="965"/>
    </row>
    <row r="44" spans="1:17" x14ac:dyDescent="0.25">
      <c r="A44" s="962" t="s">
        <v>960</v>
      </c>
      <c r="B44" s="919">
        <v>11.863301164530711</v>
      </c>
      <c r="C44" s="919"/>
      <c r="D44" s="919" t="s">
        <v>921</v>
      </c>
      <c r="E44" s="919">
        <v>9.9247999999999994</v>
      </c>
      <c r="F44" s="919" t="s">
        <v>921</v>
      </c>
      <c r="G44" s="1009">
        <v>11.583092127252669</v>
      </c>
      <c r="H44" s="919"/>
      <c r="I44" s="919"/>
      <c r="J44" s="919"/>
      <c r="K44" s="919"/>
      <c r="L44" s="1009"/>
      <c r="M44" s="965">
        <v>11.583092127252669</v>
      </c>
      <c r="N44" s="919">
        <v>11.4665032463123</v>
      </c>
      <c r="O44" s="919" t="s">
        <v>921</v>
      </c>
      <c r="P44" s="919">
        <v>9.9247999999999994</v>
      </c>
      <c r="Q44" s="965">
        <v>11.583092127252669</v>
      </c>
    </row>
    <row r="45" spans="1:17" x14ac:dyDescent="0.25">
      <c r="A45" s="1013" t="s">
        <v>961</v>
      </c>
      <c r="B45" s="919"/>
      <c r="C45" s="919"/>
      <c r="D45" s="919"/>
      <c r="E45" s="919"/>
      <c r="F45" s="919"/>
      <c r="G45" s="1009"/>
      <c r="H45" s="919"/>
      <c r="I45" s="919"/>
      <c r="J45" s="919"/>
      <c r="K45" s="919"/>
      <c r="L45" s="1009"/>
      <c r="M45" s="965"/>
      <c r="N45" s="919"/>
      <c r="O45" s="919"/>
      <c r="P45" s="919"/>
      <c r="Q45" s="965"/>
    </row>
    <row r="46" spans="1:17" x14ac:dyDescent="0.25">
      <c r="A46" s="1012" t="s">
        <v>962</v>
      </c>
      <c r="B46" s="924"/>
      <c r="C46" s="924"/>
      <c r="D46" s="924"/>
      <c r="E46" s="924"/>
      <c r="F46" s="924"/>
      <c r="G46" s="924"/>
      <c r="H46" s="924"/>
      <c r="I46" s="924"/>
      <c r="J46" s="924"/>
      <c r="K46" s="924"/>
      <c r="L46" s="924"/>
      <c r="M46" s="924"/>
      <c r="N46" s="924"/>
      <c r="O46" s="924"/>
      <c r="P46" s="924"/>
      <c r="Q46" s="924"/>
    </row>
    <row r="47" spans="1:17" x14ac:dyDescent="0.25">
      <c r="A47" s="960" t="s">
        <v>116</v>
      </c>
      <c r="B47" s="930">
        <v>8.9123937628347907</v>
      </c>
      <c r="C47" s="930">
        <v>8.103749016833186</v>
      </c>
      <c r="D47" s="930">
        <v>7.9555750258112363</v>
      </c>
      <c r="E47" s="930">
        <v>8.4019022092332509</v>
      </c>
      <c r="F47" s="930">
        <v>9.0164696687346222</v>
      </c>
      <c r="G47" s="930">
        <v>8.5093136685602619</v>
      </c>
      <c r="H47" s="930">
        <v>4.5964726504666613</v>
      </c>
      <c r="I47" s="930">
        <v>4.2497450877486838</v>
      </c>
      <c r="J47" s="930">
        <v>4.2768221037790592</v>
      </c>
      <c r="K47" s="930">
        <v>4.5811096440334724</v>
      </c>
      <c r="L47" s="930">
        <v>4.3492029379775188</v>
      </c>
      <c r="M47" s="930">
        <v>6.9297840632397918</v>
      </c>
      <c r="N47" s="930">
        <v>8.9015369140007436</v>
      </c>
      <c r="O47" s="930">
        <v>7.6849721504968116</v>
      </c>
      <c r="P47" s="930">
        <v>6.6279540119076286</v>
      </c>
      <c r="Q47" s="930">
        <v>7.4605476086213773</v>
      </c>
    </row>
    <row r="48" spans="1:17" x14ac:dyDescent="0.25">
      <c r="A48" s="1014" t="s">
        <v>1044</v>
      </c>
      <c r="B48" s="919">
        <v>10.53229264989784</v>
      </c>
      <c r="C48" s="919"/>
      <c r="D48" s="919" t="s">
        <v>921</v>
      </c>
      <c r="E48" s="919">
        <v>7.7211992988208697</v>
      </c>
      <c r="F48" s="919" t="s">
        <v>921</v>
      </c>
      <c r="G48" s="1010">
        <v>7.8000800745567291</v>
      </c>
      <c r="H48" s="919">
        <v>6.4192151074426036</v>
      </c>
      <c r="I48" s="919"/>
      <c r="J48" s="919">
        <v>4.6920900335515148</v>
      </c>
      <c r="K48" s="919"/>
      <c r="L48" s="1010">
        <v>5.1069163414441698</v>
      </c>
      <c r="M48" s="1011">
        <v>6.8061948402465786</v>
      </c>
      <c r="N48" s="919">
        <v>11.6193015672862</v>
      </c>
      <c r="O48" s="919">
        <v>7.9939194611528466</v>
      </c>
      <c r="P48" s="919">
        <v>6.9246858254400836</v>
      </c>
      <c r="Q48" s="1011">
        <v>7.1596881576802112</v>
      </c>
    </row>
    <row r="49" spans="1:17" x14ac:dyDescent="0.25">
      <c r="A49" s="1014" t="s">
        <v>964</v>
      </c>
      <c r="B49" s="919">
        <v>8.3948905385554777</v>
      </c>
      <c r="C49" s="919"/>
      <c r="D49" s="919" t="s">
        <v>921</v>
      </c>
      <c r="E49" s="919">
        <v>7.8244908006843126</v>
      </c>
      <c r="F49" s="919"/>
      <c r="G49" s="1010">
        <v>8.0728339540695266</v>
      </c>
      <c r="H49" s="919" t="s">
        <v>921</v>
      </c>
      <c r="I49" s="919"/>
      <c r="J49" s="919">
        <v>3.9505860646360822</v>
      </c>
      <c r="K49" s="919"/>
      <c r="L49" s="1010">
        <v>4.430330829158315</v>
      </c>
      <c r="M49" s="1011">
        <v>6.7014648082292254</v>
      </c>
      <c r="N49" s="919"/>
      <c r="O49" s="919" t="s">
        <v>921</v>
      </c>
      <c r="P49" s="919">
        <v>8.6112193312570433</v>
      </c>
      <c r="Q49" s="1011">
        <v>8.4066920727499781</v>
      </c>
    </row>
    <row r="50" spans="1:17" x14ac:dyDescent="0.25">
      <c r="A50" s="1014" t="s">
        <v>965</v>
      </c>
      <c r="B50" s="919"/>
      <c r="C50" s="919"/>
      <c r="D50" s="919"/>
      <c r="E50" s="919">
        <v>8.65</v>
      </c>
      <c r="F50" s="919"/>
      <c r="G50" s="1010">
        <v>8.65</v>
      </c>
      <c r="H50" s="919"/>
      <c r="I50" s="919"/>
      <c r="J50" s="919" t="s">
        <v>921</v>
      </c>
      <c r="K50" s="919"/>
      <c r="L50" s="1010" t="s">
        <v>921</v>
      </c>
      <c r="M50" s="1011">
        <v>7.1660096987736379</v>
      </c>
      <c r="N50" s="919"/>
      <c r="O50" s="919"/>
      <c r="P50" s="919" t="s">
        <v>921</v>
      </c>
      <c r="Q50" s="1011" t="s">
        <v>921</v>
      </c>
    </row>
    <row r="51" spans="1:17" x14ac:dyDescent="0.25">
      <c r="A51" s="1014" t="s">
        <v>966</v>
      </c>
      <c r="B51" s="919"/>
      <c r="C51" s="919"/>
      <c r="D51" s="919"/>
      <c r="E51" s="919"/>
      <c r="F51" s="919"/>
      <c r="G51" s="1010"/>
      <c r="H51" s="919"/>
      <c r="I51" s="919"/>
      <c r="J51" s="919"/>
      <c r="K51" s="919" t="s">
        <v>921</v>
      </c>
      <c r="L51" s="1010" t="s">
        <v>921</v>
      </c>
      <c r="M51" s="1011" t="s">
        <v>921</v>
      </c>
      <c r="N51" s="919"/>
      <c r="O51" s="919"/>
      <c r="P51" s="919"/>
      <c r="Q51" s="1011"/>
    </row>
    <row r="52" spans="1:17" x14ac:dyDescent="0.25">
      <c r="A52" s="1014" t="s">
        <v>967</v>
      </c>
      <c r="B52" s="919">
        <v>10.306234339416219</v>
      </c>
      <c r="C52" s="919" t="s">
        <v>921</v>
      </c>
      <c r="D52" s="919"/>
      <c r="E52" s="919">
        <v>8.5006378737044237</v>
      </c>
      <c r="F52" s="919"/>
      <c r="G52" s="1010">
        <v>8.7034166843837948</v>
      </c>
      <c r="H52" s="919">
        <v>4.3570756702137166</v>
      </c>
      <c r="I52" s="919"/>
      <c r="J52" s="919">
        <v>4.2484075865397886</v>
      </c>
      <c r="K52" s="919"/>
      <c r="L52" s="1010">
        <v>4.2552324315594028</v>
      </c>
      <c r="M52" s="1011">
        <v>4.3185478576441234</v>
      </c>
      <c r="N52" s="919" t="s">
        <v>921</v>
      </c>
      <c r="O52" s="919">
        <v>8.7504243703518441</v>
      </c>
      <c r="P52" s="919">
        <v>4.3040190228056172</v>
      </c>
      <c r="Q52" s="1011">
        <v>4.3939307115134199</v>
      </c>
    </row>
    <row r="53" spans="1:17" x14ac:dyDescent="0.25">
      <c r="A53" s="1014" t="s">
        <v>968</v>
      </c>
      <c r="B53" s="919"/>
      <c r="C53" s="919" t="s">
        <v>921</v>
      </c>
      <c r="D53" s="919"/>
      <c r="E53" s="919">
        <v>7.4587004053883756</v>
      </c>
      <c r="F53" s="919">
        <v>7.8704000000000001</v>
      </c>
      <c r="G53" s="1010">
        <v>9.5579209668415039</v>
      </c>
      <c r="H53" s="919"/>
      <c r="I53" s="919"/>
      <c r="J53" s="919">
        <v>3.7198690791610121</v>
      </c>
      <c r="K53" s="919"/>
      <c r="L53" s="1010">
        <v>3.7198690791610121</v>
      </c>
      <c r="M53" s="1011">
        <v>9.1205352808246047</v>
      </c>
      <c r="N53" s="919">
        <v>10.28823342071003</v>
      </c>
      <c r="O53" s="919"/>
      <c r="P53" s="919"/>
      <c r="Q53" s="1011">
        <v>10.28823342071003</v>
      </c>
    </row>
    <row r="54" spans="1:17" x14ac:dyDescent="0.25">
      <c r="A54" s="1014" t="s">
        <v>969</v>
      </c>
      <c r="B54" s="919"/>
      <c r="C54" s="919"/>
      <c r="D54" s="919"/>
      <c r="E54" s="919">
        <v>8.1999999999999993</v>
      </c>
      <c r="F54" s="919"/>
      <c r="G54" s="1010">
        <v>8.1999999999999993</v>
      </c>
      <c r="H54" s="919"/>
      <c r="I54" s="919"/>
      <c r="J54" s="919"/>
      <c r="K54" s="919"/>
      <c r="L54" s="1010"/>
      <c r="M54" s="1011">
        <v>8.1999999999999993</v>
      </c>
      <c r="N54" s="919"/>
      <c r="O54" s="919"/>
      <c r="P54" s="919"/>
      <c r="Q54" s="1011"/>
    </row>
    <row r="55" spans="1:17" x14ac:dyDescent="0.25">
      <c r="A55" s="1014" t="s">
        <v>1045</v>
      </c>
      <c r="B55" s="919" t="s">
        <v>921</v>
      </c>
      <c r="C55" s="919"/>
      <c r="D55" s="919"/>
      <c r="E55" s="919">
        <v>7.6635846168406578</v>
      </c>
      <c r="F55" s="919"/>
      <c r="G55" s="1010">
        <v>7.7275422799411846</v>
      </c>
      <c r="H55" s="919"/>
      <c r="I55" s="919"/>
      <c r="J55" s="919">
        <v>4.5759643206449816</v>
      </c>
      <c r="K55" s="919"/>
      <c r="L55" s="1010">
        <v>4.5759643206449816</v>
      </c>
      <c r="M55" s="1011">
        <v>6.9961169467476063</v>
      </c>
      <c r="N55" s="919"/>
      <c r="O55" s="919">
        <v>8.5692000000000004</v>
      </c>
      <c r="P55" s="919">
        <v>8.1494996735268295</v>
      </c>
      <c r="Q55" s="1011">
        <v>8.1755169135865859</v>
      </c>
    </row>
    <row r="56" spans="1:17" x14ac:dyDescent="0.25">
      <c r="A56" s="1014" t="s">
        <v>971</v>
      </c>
      <c r="B56" s="919" t="s">
        <v>921</v>
      </c>
      <c r="C56" s="919"/>
      <c r="D56" s="919"/>
      <c r="E56" s="919">
        <v>7.859385949362748</v>
      </c>
      <c r="F56" s="919"/>
      <c r="G56" s="1010">
        <v>7.858271362163042</v>
      </c>
      <c r="H56" s="919" t="s">
        <v>921</v>
      </c>
      <c r="I56" s="919"/>
      <c r="J56" s="919">
        <v>3.7635416110620659</v>
      </c>
      <c r="K56" s="919" t="s">
        <v>921</v>
      </c>
      <c r="L56" s="1010">
        <v>4.4902116266257677</v>
      </c>
      <c r="M56" s="1011">
        <v>7.0555834920800544</v>
      </c>
      <c r="N56" s="919"/>
      <c r="O56" s="919">
        <v>8.3108644630462152</v>
      </c>
      <c r="P56" s="919">
        <v>7.6278814684865051</v>
      </c>
      <c r="Q56" s="1011">
        <v>7.6439109198063546</v>
      </c>
    </row>
    <row r="57" spans="1:17" x14ac:dyDescent="0.25">
      <c r="A57" s="1014" t="s">
        <v>972</v>
      </c>
      <c r="B57" s="919">
        <v>8.465241269507624</v>
      </c>
      <c r="C57" s="919" t="s">
        <v>921</v>
      </c>
      <c r="D57" s="919">
        <v>9.7373718432626823</v>
      </c>
      <c r="E57" s="919">
        <v>8.5852242030888757</v>
      </c>
      <c r="F57" s="919">
        <v>9.3092589558099839</v>
      </c>
      <c r="G57" s="1010">
        <v>8.7217185834171307</v>
      </c>
      <c r="H57" s="919"/>
      <c r="I57" s="919"/>
      <c r="J57" s="919">
        <v>4.8684000000000003</v>
      </c>
      <c r="K57" s="919"/>
      <c r="L57" s="1010">
        <v>4.8684000000000003</v>
      </c>
      <c r="M57" s="1011">
        <v>8.5683876195962529</v>
      </c>
      <c r="N57" s="919">
        <v>10.09226476755687</v>
      </c>
      <c r="O57" s="919">
        <v>9.2115799570193975</v>
      </c>
      <c r="P57" s="919">
        <v>8.3050278882491284</v>
      </c>
      <c r="Q57" s="1011">
        <v>8.5661203975814928</v>
      </c>
    </row>
    <row r="58" spans="1:17" x14ac:dyDescent="0.25">
      <c r="A58" s="1014" t="s">
        <v>973</v>
      </c>
      <c r="B58" s="919">
        <v>8.6554087670069535</v>
      </c>
      <c r="C58" s="919"/>
      <c r="D58" s="919"/>
      <c r="E58" s="919">
        <v>9.0349705560352476</v>
      </c>
      <c r="F58" s="919" t="s">
        <v>921</v>
      </c>
      <c r="G58" s="1010">
        <v>8.9709683354908147</v>
      </c>
      <c r="H58" s="919"/>
      <c r="I58" s="919"/>
      <c r="J58" s="919">
        <v>4.4886047809993341</v>
      </c>
      <c r="K58" s="919" t="s">
        <v>921</v>
      </c>
      <c r="L58" s="1010">
        <v>4.6406107639389207</v>
      </c>
      <c r="M58" s="1011">
        <v>8.3452692530087518</v>
      </c>
      <c r="N58" s="919" t="s">
        <v>921</v>
      </c>
      <c r="O58" s="919" t="s">
        <v>921</v>
      </c>
      <c r="P58" s="919">
        <v>8.0395215839693073</v>
      </c>
      <c r="Q58" s="1011">
        <v>8.2495597516948909</v>
      </c>
    </row>
    <row r="59" spans="1:17" x14ac:dyDescent="0.25">
      <c r="A59" s="1014" t="s">
        <v>974</v>
      </c>
      <c r="B59" s="919" t="s">
        <v>921</v>
      </c>
      <c r="C59" s="919"/>
      <c r="D59" s="919" t="s">
        <v>921</v>
      </c>
      <c r="E59" s="919"/>
      <c r="F59" s="919"/>
      <c r="G59" s="1010">
        <v>5.2009869675086122</v>
      </c>
      <c r="H59" s="919"/>
      <c r="I59" s="919"/>
      <c r="J59" s="919"/>
      <c r="K59" s="919"/>
      <c r="L59" s="1010"/>
      <c r="M59" s="1011">
        <v>5.2009869675086122</v>
      </c>
      <c r="N59" s="919" t="s">
        <v>921</v>
      </c>
      <c r="O59" s="919" t="s">
        <v>921</v>
      </c>
      <c r="P59" s="919"/>
      <c r="Q59" s="1011">
        <v>5.2009869675086122</v>
      </c>
    </row>
    <row r="60" spans="1:17" x14ac:dyDescent="0.25">
      <c r="A60" s="1014" t="s">
        <v>975</v>
      </c>
      <c r="B60" s="919"/>
      <c r="C60" s="919"/>
      <c r="D60" s="919"/>
      <c r="E60" s="919">
        <v>7.7772241802158621</v>
      </c>
      <c r="F60" s="919"/>
      <c r="G60" s="1010">
        <v>7.7772241802158621</v>
      </c>
      <c r="H60" s="919"/>
      <c r="I60" s="919"/>
      <c r="J60" s="919" t="s">
        <v>921</v>
      </c>
      <c r="K60" s="919"/>
      <c r="L60" s="1010" t="s">
        <v>921</v>
      </c>
      <c r="M60" s="1011">
        <v>6.9313195484402899</v>
      </c>
      <c r="N60" s="919"/>
      <c r="O60" s="919"/>
      <c r="P60" s="919">
        <v>6.6954316847400994</v>
      </c>
      <c r="Q60" s="1011">
        <v>6.6954316847400994</v>
      </c>
    </row>
    <row r="61" spans="1:17" x14ac:dyDescent="0.25">
      <c r="A61" s="1014" t="s">
        <v>976</v>
      </c>
      <c r="B61" s="919"/>
      <c r="C61" s="919"/>
      <c r="D61" s="919"/>
      <c r="E61" s="919">
        <v>8.7308710715983473</v>
      </c>
      <c r="F61" s="919"/>
      <c r="G61" s="1010">
        <v>8.7308710715983473</v>
      </c>
      <c r="H61" s="919"/>
      <c r="I61" s="919"/>
      <c r="J61" s="919">
        <v>4.116567319673516</v>
      </c>
      <c r="K61" s="919"/>
      <c r="L61" s="1010">
        <v>4.116567319673516</v>
      </c>
      <c r="M61" s="1011">
        <v>6.312662312859679</v>
      </c>
      <c r="N61" s="919"/>
      <c r="O61" s="919"/>
      <c r="P61" s="919"/>
      <c r="Q61" s="1011"/>
    </row>
    <row r="62" spans="1:17" x14ac:dyDescent="0.25">
      <c r="A62" s="1014" t="s">
        <v>977</v>
      </c>
      <c r="B62" s="919">
        <v>9.1841103701773719</v>
      </c>
      <c r="C62" s="919"/>
      <c r="D62" s="919" t="s">
        <v>921</v>
      </c>
      <c r="E62" s="919">
        <v>8.6016695679722321</v>
      </c>
      <c r="F62" s="919">
        <v>9.9207724684246781</v>
      </c>
      <c r="G62" s="1010">
        <v>8.9876415286828717</v>
      </c>
      <c r="H62" s="919" t="s">
        <v>921</v>
      </c>
      <c r="I62" s="919"/>
      <c r="J62" s="919"/>
      <c r="K62" s="919" t="s">
        <v>921</v>
      </c>
      <c r="L62" s="1010">
        <v>4.6191850991730243</v>
      </c>
      <c r="M62" s="1011">
        <v>7.4177491856436362</v>
      </c>
      <c r="N62" s="919">
        <v>8.4207597924609896</v>
      </c>
      <c r="O62" s="919">
        <v>9.4022507807178233</v>
      </c>
      <c r="P62" s="919">
        <v>5.2726057030416369</v>
      </c>
      <c r="Q62" s="1011">
        <v>7.4177491856436362</v>
      </c>
    </row>
    <row r="63" spans="1:17" x14ac:dyDescent="0.25">
      <c r="A63" s="1012" t="s">
        <v>136</v>
      </c>
      <c r="B63" s="924">
        <v>10.475130165005201</v>
      </c>
      <c r="C63" s="924"/>
      <c r="D63" s="924">
        <v>12.20736514867048</v>
      </c>
      <c r="E63" s="924">
        <v>8.2881197711040766</v>
      </c>
      <c r="F63" s="924">
        <v>12.85766375838773</v>
      </c>
      <c r="G63" s="924">
        <v>8.5869514908027842</v>
      </c>
      <c r="H63" s="924">
        <v>4.2710562552296576</v>
      </c>
      <c r="I63" s="924" t="s">
        <v>921</v>
      </c>
      <c r="J63" s="924">
        <v>4.6003149908910306</v>
      </c>
      <c r="K63" s="924"/>
      <c r="L63" s="924">
        <v>4.425038950200431</v>
      </c>
      <c r="M63" s="924">
        <v>5.5354983590952518</v>
      </c>
      <c r="N63" s="924">
        <v>11.26574507823814</v>
      </c>
      <c r="O63" s="924">
        <v>7.3534237579180486</v>
      </c>
      <c r="P63" s="924">
        <v>6.6876267764318484</v>
      </c>
      <c r="Q63" s="924">
        <v>7.2506117092744233</v>
      </c>
    </row>
    <row r="64" spans="1:17" x14ac:dyDescent="0.25">
      <c r="A64" s="1015" t="s">
        <v>1046</v>
      </c>
      <c r="B64" s="919"/>
      <c r="C64" s="919"/>
      <c r="D64" s="919"/>
      <c r="E64" s="919"/>
      <c r="F64" s="919"/>
      <c r="G64" s="1010"/>
      <c r="H64" s="919"/>
      <c r="I64" s="919"/>
      <c r="J64" s="919"/>
      <c r="K64" s="919"/>
      <c r="L64" s="1010"/>
      <c r="M64" s="1011"/>
      <c r="N64" s="919"/>
      <c r="O64" s="919"/>
      <c r="P64" s="919"/>
      <c r="Q64" s="1011"/>
    </row>
    <row r="65" spans="1:17" x14ac:dyDescent="0.25">
      <c r="A65" s="1015" t="s">
        <v>979</v>
      </c>
      <c r="B65" s="919"/>
      <c r="C65" s="919"/>
      <c r="D65" s="919"/>
      <c r="E65" s="919"/>
      <c r="F65" s="919"/>
      <c r="G65" s="1010"/>
      <c r="H65" s="919"/>
      <c r="I65" s="919"/>
      <c r="J65" s="919"/>
      <c r="K65" s="919"/>
      <c r="L65" s="1010"/>
      <c r="M65" s="1011"/>
      <c r="N65" s="919"/>
      <c r="O65" s="919"/>
      <c r="P65" s="919"/>
      <c r="Q65" s="1011"/>
    </row>
    <row r="66" spans="1:17" x14ac:dyDescent="0.25">
      <c r="A66" s="1015" t="s">
        <v>1047</v>
      </c>
      <c r="B66" s="919"/>
      <c r="C66" s="919"/>
      <c r="D66" s="919" t="s">
        <v>921</v>
      </c>
      <c r="E66" s="919"/>
      <c r="F66" s="919"/>
      <c r="G66" s="1010" t="s">
        <v>921</v>
      </c>
      <c r="H66" s="919"/>
      <c r="I66" s="919"/>
      <c r="J66" s="919"/>
      <c r="K66" s="919"/>
      <c r="L66" s="1010"/>
      <c r="M66" s="1011" t="s">
        <v>921</v>
      </c>
      <c r="N66" s="919" t="s">
        <v>921</v>
      </c>
      <c r="O66" s="919"/>
      <c r="P66" s="919"/>
      <c r="Q66" s="1011" t="s">
        <v>921</v>
      </c>
    </row>
    <row r="67" spans="1:17" x14ac:dyDescent="0.25">
      <c r="A67" s="1015" t="s">
        <v>981</v>
      </c>
      <c r="B67" s="919"/>
      <c r="C67" s="919"/>
      <c r="D67" s="919"/>
      <c r="E67" s="919" t="s">
        <v>921</v>
      </c>
      <c r="F67" s="919"/>
      <c r="G67" s="1010" t="s">
        <v>921</v>
      </c>
      <c r="H67" s="919"/>
      <c r="I67" s="919"/>
      <c r="J67" s="919" t="s">
        <v>921</v>
      </c>
      <c r="K67" s="919"/>
      <c r="L67" s="1010" t="s">
        <v>921</v>
      </c>
      <c r="M67" s="1011">
        <v>7.456849835690325</v>
      </c>
      <c r="N67" s="919"/>
      <c r="O67" s="919" t="s">
        <v>921</v>
      </c>
      <c r="P67" s="919"/>
      <c r="Q67" s="1011" t="s">
        <v>921</v>
      </c>
    </row>
    <row r="68" spans="1:17" x14ac:dyDescent="0.25">
      <c r="A68" s="1015" t="s">
        <v>982</v>
      </c>
      <c r="B68" s="919"/>
      <c r="C68" s="919"/>
      <c r="D68" s="919"/>
      <c r="E68" s="919"/>
      <c r="F68" s="919"/>
      <c r="G68" s="1010"/>
      <c r="H68" s="919"/>
      <c r="I68" s="919"/>
      <c r="J68" s="919"/>
      <c r="K68" s="919"/>
      <c r="L68" s="1010"/>
      <c r="M68" s="1011"/>
      <c r="N68" s="919"/>
      <c r="O68" s="919"/>
      <c r="P68" s="919"/>
      <c r="Q68" s="1011"/>
    </row>
    <row r="69" spans="1:17" x14ac:dyDescent="0.25">
      <c r="A69" s="1015" t="s">
        <v>983</v>
      </c>
      <c r="B69" s="919" t="s">
        <v>921</v>
      </c>
      <c r="C69" s="919"/>
      <c r="D69" s="919"/>
      <c r="E69" s="919">
        <v>8.5197762345989752</v>
      </c>
      <c r="F69" s="919"/>
      <c r="G69" s="1010">
        <v>8.5784080994357588</v>
      </c>
      <c r="H69" s="919" t="s">
        <v>921</v>
      </c>
      <c r="I69" s="919"/>
      <c r="J69" s="919">
        <v>4.4186687704171286</v>
      </c>
      <c r="K69" s="919"/>
      <c r="L69" s="1010">
        <v>4.4203810885156276</v>
      </c>
      <c r="M69" s="1011">
        <v>5.0651474335750661</v>
      </c>
      <c r="N69" s="919"/>
      <c r="O69" s="919">
        <v>7.3250489368491589</v>
      </c>
      <c r="P69" s="919">
        <v>5.5590106914679707</v>
      </c>
      <c r="Q69" s="1011">
        <v>6.4574127907223211</v>
      </c>
    </row>
    <row r="70" spans="1:17" x14ac:dyDescent="0.25">
      <c r="A70" s="1015" t="s">
        <v>984</v>
      </c>
      <c r="B70" s="919"/>
      <c r="C70" s="919"/>
      <c r="D70" s="919"/>
      <c r="E70" s="919"/>
      <c r="F70" s="919"/>
      <c r="G70" s="1010"/>
      <c r="H70" s="919" t="s">
        <v>921</v>
      </c>
      <c r="I70" s="919"/>
      <c r="J70" s="919"/>
      <c r="K70" s="919"/>
      <c r="L70" s="1010" t="s">
        <v>921</v>
      </c>
      <c r="M70" s="1011" t="s">
        <v>921</v>
      </c>
      <c r="N70" s="919"/>
      <c r="O70" s="919" t="s">
        <v>921</v>
      </c>
      <c r="P70" s="919"/>
      <c r="Q70" s="1011" t="s">
        <v>921</v>
      </c>
    </row>
    <row r="71" spans="1:17" x14ac:dyDescent="0.25">
      <c r="A71" s="1015" t="s">
        <v>985</v>
      </c>
      <c r="B71" s="919" t="s">
        <v>921</v>
      </c>
      <c r="C71" s="919"/>
      <c r="D71" s="919"/>
      <c r="E71" s="919" t="s">
        <v>921</v>
      </c>
      <c r="F71" s="919"/>
      <c r="G71" s="1010" t="s">
        <v>921</v>
      </c>
      <c r="H71" s="919"/>
      <c r="I71" s="919"/>
      <c r="J71" s="919">
        <v>4.4080421136133348</v>
      </c>
      <c r="K71" s="919"/>
      <c r="L71" s="1010">
        <v>4.4080421136133348</v>
      </c>
      <c r="M71" s="1011">
        <v>5.1776559146452463</v>
      </c>
      <c r="N71" s="919"/>
      <c r="O71" s="919">
        <v>5.1624196660337693</v>
      </c>
      <c r="P71" s="919">
        <v>5.6703000000000001</v>
      </c>
      <c r="Q71" s="1011">
        <v>5.1776559146452463</v>
      </c>
    </row>
    <row r="72" spans="1:17" x14ac:dyDescent="0.25">
      <c r="A72" s="1015" t="s">
        <v>986</v>
      </c>
      <c r="B72" s="919"/>
      <c r="C72" s="919"/>
      <c r="D72" s="919"/>
      <c r="E72" s="919">
        <v>8</v>
      </c>
      <c r="F72" s="919"/>
      <c r="G72" s="1010">
        <v>8</v>
      </c>
      <c r="H72" s="919" t="s">
        <v>921</v>
      </c>
      <c r="I72" s="919"/>
      <c r="J72" s="919">
        <v>3.92032593015161</v>
      </c>
      <c r="K72" s="919"/>
      <c r="L72" s="1010">
        <v>5.2325748577905804</v>
      </c>
      <c r="M72" s="1011">
        <v>5.7660425739778693</v>
      </c>
      <c r="N72" s="919"/>
      <c r="O72" s="919"/>
      <c r="P72" s="919">
        <v>8</v>
      </c>
      <c r="Q72" s="1011">
        <v>8</v>
      </c>
    </row>
    <row r="73" spans="1:17" x14ac:dyDescent="0.25">
      <c r="A73" s="1015" t="s">
        <v>987</v>
      </c>
      <c r="B73" s="919"/>
      <c r="C73" s="919"/>
      <c r="D73" s="919"/>
      <c r="E73" s="919"/>
      <c r="F73" s="919"/>
      <c r="G73" s="1010"/>
      <c r="H73" s="919" t="s">
        <v>921</v>
      </c>
      <c r="I73" s="919"/>
      <c r="J73" s="919"/>
      <c r="K73" s="919"/>
      <c r="L73" s="1010" t="s">
        <v>921</v>
      </c>
      <c r="M73" s="1011" t="s">
        <v>921</v>
      </c>
      <c r="N73" s="919"/>
      <c r="O73" s="919"/>
      <c r="P73" s="919"/>
      <c r="Q73" s="1011"/>
    </row>
    <row r="74" spans="1:17" x14ac:dyDescent="0.25">
      <c r="A74" s="1015" t="s">
        <v>988</v>
      </c>
      <c r="B74" s="919" t="s">
        <v>921</v>
      </c>
      <c r="C74" s="919"/>
      <c r="D74" s="919" t="s">
        <v>921</v>
      </c>
      <c r="E74" s="919">
        <v>8.3721185612451858</v>
      </c>
      <c r="F74" s="919" t="s">
        <v>921</v>
      </c>
      <c r="G74" s="1010">
        <v>9.4430642355182997</v>
      </c>
      <c r="H74" s="919">
        <v>4.0023420157609184</v>
      </c>
      <c r="I74" s="919" t="s">
        <v>921</v>
      </c>
      <c r="J74" s="919">
        <v>4.7419943472663144</v>
      </c>
      <c r="K74" s="919"/>
      <c r="L74" s="1010">
        <v>4.2659098365516197</v>
      </c>
      <c r="M74" s="1011">
        <v>4.6455170958010861</v>
      </c>
      <c r="N74" s="919">
        <v>8.9042484761402072</v>
      </c>
      <c r="O74" s="919">
        <v>7.9712440579676187</v>
      </c>
      <c r="P74" s="919" t="s">
        <v>921</v>
      </c>
      <c r="Q74" s="1011">
        <v>7.8838844092966589</v>
      </c>
    </row>
    <row r="75" spans="1:17" x14ac:dyDescent="0.25">
      <c r="A75" s="1015" t="s">
        <v>989</v>
      </c>
      <c r="B75" s="919">
        <v>10.882629107894701</v>
      </c>
      <c r="C75" s="919"/>
      <c r="D75" s="919"/>
      <c r="E75" s="919">
        <v>8</v>
      </c>
      <c r="F75" s="919" t="s">
        <v>921</v>
      </c>
      <c r="G75" s="1010">
        <v>10.052735033726281</v>
      </c>
      <c r="H75" s="919" t="s">
        <v>921</v>
      </c>
      <c r="I75" s="919"/>
      <c r="J75" s="919"/>
      <c r="K75" s="919"/>
      <c r="L75" s="1010" t="s">
        <v>921</v>
      </c>
      <c r="M75" s="1011">
        <v>8.0850066943005601</v>
      </c>
      <c r="N75" s="919">
        <v>11.071202852446721</v>
      </c>
      <c r="O75" s="919">
        <v>8</v>
      </c>
      <c r="P75" s="919" t="s">
        <v>921</v>
      </c>
      <c r="Q75" s="1011">
        <v>8.0850066943005601</v>
      </c>
    </row>
    <row r="76" spans="1:17" x14ac:dyDescent="0.25">
      <c r="A76" s="1015" t="s">
        <v>1048</v>
      </c>
      <c r="B76" s="919"/>
      <c r="C76" s="919"/>
      <c r="D76" s="919"/>
      <c r="E76" s="919"/>
      <c r="F76" s="919"/>
      <c r="G76" s="1010"/>
      <c r="H76" s="919"/>
      <c r="I76" s="919"/>
      <c r="J76" s="919"/>
      <c r="K76" s="919"/>
      <c r="L76" s="1010"/>
      <c r="M76" s="1011"/>
      <c r="N76" s="919"/>
      <c r="O76" s="919"/>
      <c r="P76" s="919"/>
      <c r="Q76" s="1011"/>
    </row>
    <row r="77" spans="1:17" x14ac:dyDescent="0.25">
      <c r="A77" s="1015" t="s">
        <v>991</v>
      </c>
      <c r="B77" s="919"/>
      <c r="C77" s="919"/>
      <c r="D77" s="919"/>
      <c r="E77" s="919"/>
      <c r="F77" s="919"/>
      <c r="G77" s="1010"/>
      <c r="H77" s="919"/>
      <c r="I77" s="919"/>
      <c r="J77" s="919"/>
      <c r="K77" s="919"/>
      <c r="L77" s="1010"/>
      <c r="M77" s="1011"/>
      <c r="N77" s="919"/>
      <c r="O77" s="919"/>
      <c r="P77" s="919"/>
      <c r="Q77" s="1011"/>
    </row>
    <row r="78" spans="1:17" x14ac:dyDescent="0.25">
      <c r="A78" s="1015" t="s">
        <v>992</v>
      </c>
      <c r="B78" s="919"/>
      <c r="C78" s="919"/>
      <c r="D78" s="919"/>
      <c r="E78" s="919">
        <v>7.7455661538234946</v>
      </c>
      <c r="F78" s="919"/>
      <c r="G78" s="1010">
        <v>7.7455661538234946</v>
      </c>
      <c r="H78" s="919"/>
      <c r="I78" s="919"/>
      <c r="J78" s="919">
        <v>3.9009999999999998</v>
      </c>
      <c r="K78" s="919"/>
      <c r="L78" s="1010">
        <v>3.9009999999999998</v>
      </c>
      <c r="M78" s="1011">
        <v>7.706952573230069</v>
      </c>
      <c r="N78" s="919"/>
      <c r="O78" s="919">
        <v>3.9009999999999998</v>
      </c>
      <c r="P78" s="919"/>
      <c r="Q78" s="1011">
        <v>3.9009999999999998</v>
      </c>
    </row>
    <row r="79" spans="1:17" x14ac:dyDescent="0.25">
      <c r="A79" s="1015" t="s">
        <v>993</v>
      </c>
      <c r="B79" s="919"/>
      <c r="C79" s="919"/>
      <c r="D79" s="919"/>
      <c r="E79" s="919"/>
      <c r="F79" s="919"/>
      <c r="G79" s="1010"/>
      <c r="H79" s="919"/>
      <c r="I79" s="919"/>
      <c r="J79" s="919" t="s">
        <v>921</v>
      </c>
      <c r="K79" s="919"/>
      <c r="L79" s="1010" t="s">
        <v>921</v>
      </c>
      <c r="M79" s="1011" t="s">
        <v>921</v>
      </c>
      <c r="N79" s="919"/>
      <c r="O79" s="919"/>
      <c r="P79" s="919" t="s">
        <v>921</v>
      </c>
      <c r="Q79" s="1011" t="s">
        <v>921</v>
      </c>
    </row>
    <row r="80" spans="1:17" x14ac:dyDescent="0.25">
      <c r="A80" s="1015" t="s">
        <v>994</v>
      </c>
      <c r="B80" s="919" t="s">
        <v>921</v>
      </c>
      <c r="C80" s="919"/>
      <c r="D80" s="919"/>
      <c r="E80" s="919">
        <v>7.7226088509504338</v>
      </c>
      <c r="F80" s="919">
        <v>13.79295977112576</v>
      </c>
      <c r="G80" s="1010">
        <v>7.8778437082150976</v>
      </c>
      <c r="H80" s="919"/>
      <c r="I80" s="919"/>
      <c r="J80" s="919" t="s">
        <v>921</v>
      </c>
      <c r="K80" s="919"/>
      <c r="L80" s="1010" t="s">
        <v>921</v>
      </c>
      <c r="M80" s="1011">
        <v>7.0125584983148759</v>
      </c>
      <c r="N80" s="919">
        <v>13.79295977112576</v>
      </c>
      <c r="O80" s="919" t="s">
        <v>921</v>
      </c>
      <c r="P80" s="919">
        <v>6.7954099630018803</v>
      </c>
      <c r="Q80" s="1011">
        <v>6.9254092616365526</v>
      </c>
    </row>
    <row r="81" spans="1:17" x14ac:dyDescent="0.25">
      <c r="A81" s="1015" t="s">
        <v>995</v>
      </c>
      <c r="B81" s="919"/>
      <c r="C81" s="919"/>
      <c r="D81" s="919"/>
      <c r="E81" s="919"/>
      <c r="F81" s="919"/>
      <c r="G81" s="1010"/>
      <c r="H81" s="919"/>
      <c r="I81" s="919"/>
      <c r="J81" s="919"/>
      <c r="K81" s="919"/>
      <c r="L81" s="1010"/>
      <c r="M81" s="1011"/>
      <c r="N81" s="919"/>
      <c r="O81" s="919"/>
      <c r="P81" s="919"/>
      <c r="Q81" s="1011"/>
    </row>
    <row r="82" spans="1:17" x14ac:dyDescent="0.25">
      <c r="A82" s="957" t="s">
        <v>137</v>
      </c>
      <c r="B82" s="941">
        <v>8.6041088920415092</v>
      </c>
      <c r="C82" s="941">
        <v>10.879302532492449</v>
      </c>
      <c r="D82" s="941">
        <v>8.1930972168209983</v>
      </c>
      <c r="E82" s="941">
        <v>7.9245558404626788</v>
      </c>
      <c r="F82" s="941">
        <v>10.20408446769277</v>
      </c>
      <c r="G82" s="941">
        <v>8.1050528669947415</v>
      </c>
      <c r="H82" s="941">
        <v>4.5018240210753611</v>
      </c>
      <c r="I82" s="941" t="s">
        <v>921</v>
      </c>
      <c r="J82" s="941">
        <v>4.3153299232835796</v>
      </c>
      <c r="K82" s="941">
        <v>5.2109399691087441</v>
      </c>
      <c r="L82" s="941">
        <v>4.4252628572152872</v>
      </c>
      <c r="M82" s="941">
        <v>5.8763899647890856</v>
      </c>
      <c r="N82" s="941">
        <v>10.279573900566531</v>
      </c>
      <c r="O82" s="941">
        <v>7.8619647742068688</v>
      </c>
      <c r="P82" s="941">
        <v>6.7346417129100384</v>
      </c>
      <c r="Q82" s="941">
        <v>7.0987136131570638</v>
      </c>
    </row>
    <row r="83" spans="1:17" x14ac:dyDescent="0.25">
      <c r="A83" s="960" t="s">
        <v>996</v>
      </c>
      <c r="B83" s="930">
        <v>8.8584457336490647</v>
      </c>
      <c r="C83" s="930">
        <v>8.2544462092039854</v>
      </c>
      <c r="D83" s="930">
        <v>8.0056430440904105</v>
      </c>
      <c r="E83" s="930">
        <v>8.1115478108244741</v>
      </c>
      <c r="F83" s="930">
        <v>9.0981250553054416</v>
      </c>
      <c r="G83" s="930">
        <v>8.3619776376052783</v>
      </c>
      <c r="H83" s="930">
        <v>4.5403991614715782</v>
      </c>
      <c r="I83" s="930">
        <v>4.2512043128403816</v>
      </c>
      <c r="J83" s="930">
        <v>4.3031818202756424</v>
      </c>
      <c r="K83" s="930">
        <v>4.9404177251310717</v>
      </c>
      <c r="L83" s="930">
        <v>4.394076744377287</v>
      </c>
      <c r="M83" s="930">
        <v>6.4302088049003352</v>
      </c>
      <c r="N83" s="930">
        <v>8.9998550802806321</v>
      </c>
      <c r="O83" s="930">
        <v>7.7215918874137941</v>
      </c>
      <c r="P83" s="930">
        <v>6.6659575523229844</v>
      </c>
      <c r="Q83" s="930">
        <v>7.3638300033120574</v>
      </c>
    </row>
  </sheetData>
  <mergeCells count="1">
    <mergeCell ref="A1:Q1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40"/>
  <sheetViews>
    <sheetView topLeftCell="A28" zoomScaleNormal="100" workbookViewId="0">
      <selection activeCell="J34" sqref="J34:J35"/>
    </sheetView>
  </sheetViews>
  <sheetFormatPr defaultRowHeight="15" x14ac:dyDescent="0.25"/>
  <cols>
    <col min="1" max="1" width="51.5703125" bestFit="1" customWidth="1"/>
    <col min="2" max="6" width="11.5703125" bestFit="1" customWidth="1"/>
    <col min="7" max="7" width="13.28515625" bestFit="1" customWidth="1"/>
    <col min="8" max="10" width="13.28515625" customWidth="1"/>
    <col min="11" max="11" width="13.5703125" customWidth="1"/>
    <col min="12" max="13" width="16.140625" bestFit="1" customWidth="1"/>
    <col min="14" max="14" width="9" bestFit="1" customWidth="1"/>
    <col min="15" max="15" width="16.140625" bestFit="1" customWidth="1"/>
    <col min="16" max="16" width="9" bestFit="1" customWidth="1"/>
  </cols>
  <sheetData>
    <row r="1" spans="1:23" ht="15.75" thickBot="1" x14ac:dyDescent="0.3">
      <c r="B1" s="6" t="s">
        <v>824</v>
      </c>
      <c r="C1" s="7" t="s">
        <v>182</v>
      </c>
      <c r="D1" s="7" t="s">
        <v>803</v>
      </c>
      <c r="E1" s="7" t="s">
        <v>825</v>
      </c>
      <c r="F1" s="7" t="s">
        <v>826</v>
      </c>
      <c r="G1" s="7" t="s">
        <v>870</v>
      </c>
      <c r="H1" s="7" t="s">
        <v>887</v>
      </c>
      <c r="I1" s="7" t="s">
        <v>892</v>
      </c>
      <c r="J1" s="7" t="s">
        <v>1015</v>
      </c>
      <c r="K1" s="7" t="s">
        <v>1016</v>
      </c>
    </row>
    <row r="2" spans="1:23" ht="15.75" thickBot="1" x14ac:dyDescent="0.3">
      <c r="A2" s="888" t="s">
        <v>32</v>
      </c>
      <c r="B2" s="562">
        <v>983805.23750699998</v>
      </c>
      <c r="C2" s="562">
        <v>1043927.1058970001</v>
      </c>
      <c r="D2" s="562">
        <v>1065746.6073100001</v>
      </c>
      <c r="E2" s="562">
        <v>1057200.8647499999</v>
      </c>
      <c r="F2" s="562">
        <v>1064787.4670839999</v>
      </c>
      <c r="G2" s="562">
        <f>[2]allomanyi_adatok_publi_millióFt!$O$48+[2]allomanyi_adatok_publi_millióFt!$O$144</f>
        <v>1072270.2663080001</v>
      </c>
      <c r="H2" s="562">
        <v>1060787.8642210001</v>
      </c>
      <c r="I2" s="562">
        <v>1048177.8728479999</v>
      </c>
      <c r="J2" s="86">
        <f>SUM(allomanyi!O48+allomanyi!O144)</f>
        <v>1001193.097481</v>
      </c>
      <c r="K2" s="86"/>
    </row>
    <row r="3" spans="1:23" ht="15.75" thickBot="1" x14ac:dyDescent="0.3">
      <c r="A3" s="889" t="s">
        <v>42</v>
      </c>
      <c r="B3" s="562">
        <v>744708.07312100008</v>
      </c>
      <c r="C3" s="562">
        <v>731635.65528199996</v>
      </c>
      <c r="D3" s="562">
        <v>758397.58396800002</v>
      </c>
      <c r="E3" s="562">
        <v>749514.34033599996</v>
      </c>
      <c r="F3" s="562">
        <v>742529.50855399994</v>
      </c>
      <c r="G3" s="562">
        <f>[2]allomanyi_adatok_publi_millióFt!$O$83+[2]allomanyi_adatok_publi_millióFt!$O$179</f>
        <v>705804.39691000001</v>
      </c>
      <c r="H3" s="562">
        <v>721109.17214699998</v>
      </c>
      <c r="I3" s="562">
        <v>756003.71683299995</v>
      </c>
      <c r="J3" s="86">
        <f>SUM(allomanyi!O83+allomanyi!O179)</f>
        <v>710600.67688099993</v>
      </c>
      <c r="K3" s="86"/>
      <c r="L3" s="86"/>
    </row>
    <row r="4" spans="1:23" x14ac:dyDescent="0.25">
      <c r="B4" s="890">
        <f>SUM(B2:B3)</f>
        <v>1728513.3106280002</v>
      </c>
      <c r="C4" s="890">
        <f t="shared" ref="C4:F4" si="0">SUM(C2:C3)</f>
        <v>1775562.7611790001</v>
      </c>
      <c r="D4" s="890">
        <f t="shared" si="0"/>
        <v>1824144.1912780001</v>
      </c>
      <c r="E4" s="890">
        <f t="shared" si="0"/>
        <v>1806715.2050859998</v>
      </c>
      <c r="F4" s="890">
        <f t="shared" si="0"/>
        <v>1807316.9756379998</v>
      </c>
      <c r="G4" s="890">
        <f>SUM(G2:G3)</f>
        <v>1778074.663218</v>
      </c>
      <c r="H4" s="890">
        <f>SUM(H2:H3)</f>
        <v>1781897.0363680001</v>
      </c>
      <c r="I4" s="890">
        <f>SUM(I2:I3)</f>
        <v>1804181.589681</v>
      </c>
      <c r="J4" s="890">
        <f>SUM(J2:J3)</f>
        <v>1711793.7743619999</v>
      </c>
      <c r="K4" s="890"/>
    </row>
    <row r="5" spans="1:23" x14ac:dyDescent="0.25">
      <c r="D5" s="82"/>
      <c r="J5" s="86"/>
      <c r="K5" s="86"/>
    </row>
    <row r="6" spans="1:23" ht="15.75" thickBot="1" x14ac:dyDescent="0.3">
      <c r="J6" s="27"/>
      <c r="K6" s="27"/>
    </row>
    <row r="7" spans="1:23" ht="15.75" thickBot="1" x14ac:dyDescent="0.3">
      <c r="A7" s="33" t="s">
        <v>32</v>
      </c>
      <c r="B7" s="6" t="s">
        <v>824</v>
      </c>
      <c r="C7" s="7" t="s">
        <v>182</v>
      </c>
      <c r="D7" s="7" t="s">
        <v>803</v>
      </c>
      <c r="E7" s="7" t="s">
        <v>825</v>
      </c>
      <c r="F7" s="7" t="s">
        <v>826</v>
      </c>
      <c r="G7" s="7" t="s">
        <v>870</v>
      </c>
      <c r="H7" s="7" t="s">
        <v>887</v>
      </c>
      <c r="I7" s="7" t="s">
        <v>892</v>
      </c>
      <c r="J7" s="31" t="s">
        <v>1015</v>
      </c>
      <c r="K7" s="31" t="s">
        <v>1016</v>
      </c>
      <c r="L7" s="35" t="s">
        <v>889</v>
      </c>
      <c r="M7" s="35" t="s">
        <v>888</v>
      </c>
      <c r="N7" s="35" t="s">
        <v>187</v>
      </c>
      <c r="O7" s="35" t="s">
        <v>145</v>
      </c>
      <c r="P7" s="35" t="s">
        <v>146</v>
      </c>
    </row>
    <row r="8" spans="1:23" x14ac:dyDescent="0.25">
      <c r="A8" s="24" t="s">
        <v>34</v>
      </c>
      <c r="B8" s="4">
        <f>[3]allomanyi_adatok_ezerFt!$O$48</f>
        <v>371121.601135</v>
      </c>
      <c r="C8" s="5">
        <f>[4]allomanyi_adatok_publi_ezerFt!$O$48</f>
        <v>386164.65134699998</v>
      </c>
      <c r="D8" s="5">
        <f>[5]allomanyi_adatok_publi_ezerFt!$O$48</f>
        <v>384511.61806900002</v>
      </c>
      <c r="E8" s="5">
        <f>[6]allomanyi_adatok_publi_ezerFt!$O$48</f>
        <v>373603.13599899999</v>
      </c>
      <c r="F8" s="5">
        <f>[7]allomanyi_adatok_publi_ezerFt!$O$48</f>
        <v>379511.919016</v>
      </c>
      <c r="G8" s="5">
        <f>[2]allomanyi_adatok_publi_millióFt!$O$48</f>
        <v>387412.602564</v>
      </c>
      <c r="H8" s="5">
        <f>[8]allomanyi_adatok_publi_millióFt!$O$48</f>
        <v>383575.56561699999</v>
      </c>
      <c r="I8" s="5">
        <v>375780.39143000002</v>
      </c>
      <c r="J8" s="997">
        <f>SUM(allomanyi!O48)</f>
        <v>360707.85778000002</v>
      </c>
      <c r="K8" s="998"/>
      <c r="L8" s="999">
        <f>J8/J10*100</f>
        <v>36.027801099262504</v>
      </c>
      <c r="M8" s="999">
        <f>J8/I8*100-100</f>
        <v>-4.0109952498167303</v>
      </c>
      <c r="N8" s="999">
        <f>J8/F8*100-100</f>
        <v>-4.954801231211718</v>
      </c>
      <c r="O8" s="1000">
        <f>J8-I8</f>
        <v>-15072.533649999998</v>
      </c>
      <c r="P8" s="1000">
        <f>J8-F8</f>
        <v>-18804.06123599998</v>
      </c>
    </row>
    <row r="9" spans="1:23" x14ac:dyDescent="0.25">
      <c r="A9" s="25" t="s">
        <v>35</v>
      </c>
      <c r="B9" s="4">
        <f>[3]allomanyi_adatok_ezerFt!$O$144</f>
        <v>612683.63637199998</v>
      </c>
      <c r="C9" s="5">
        <f>[4]allomanyi_adatok_publi_ezerFt!$O$144</f>
        <v>657762.45455000002</v>
      </c>
      <c r="D9" s="5">
        <f>[5]allomanyi_adatok_publi_ezerFt!$O$144</f>
        <v>681234.98924100003</v>
      </c>
      <c r="E9" s="5">
        <f>[6]allomanyi_adatok_publi_ezerFt!$O$144</f>
        <v>683597.72875100002</v>
      </c>
      <c r="F9" s="5">
        <f>[7]allomanyi_adatok_publi_ezerFt!$O$144</f>
        <v>685275.548068</v>
      </c>
      <c r="G9" s="5">
        <f>[2]allomanyi_adatok_publi_millióFt!$O$144</f>
        <v>684857.66374400002</v>
      </c>
      <c r="H9" s="5">
        <f>[8]allomanyi_adatok_publi_millióFt!$O$144</f>
        <v>677212.29860400001</v>
      </c>
      <c r="I9" s="5">
        <v>672397.48141799995</v>
      </c>
      <c r="J9" s="880">
        <f>SUM(allomanyi!O144)</f>
        <v>640485.23970100004</v>
      </c>
      <c r="K9" s="988"/>
      <c r="L9" s="990">
        <f>J9/J10*100</f>
        <v>63.972198900737496</v>
      </c>
      <c r="M9" s="990">
        <f t="shared" ref="M9:M10" si="1">J9/I9*100-100</f>
        <v>-4.7460382584570482</v>
      </c>
      <c r="N9" s="990">
        <f t="shared" ref="N9:N10" si="2">J9/F9*100-100</f>
        <v>-6.5361019364075474</v>
      </c>
      <c r="O9" s="1001">
        <f t="shared" ref="O9:O10" si="3">J9-I9</f>
        <v>-31912.24171699991</v>
      </c>
      <c r="P9" s="1001">
        <f t="shared" ref="P9:P10" si="4">J9-F9</f>
        <v>-44790.308366999961</v>
      </c>
    </row>
    <row r="10" spans="1:23" x14ac:dyDescent="0.25">
      <c r="A10" s="26" t="s">
        <v>36</v>
      </c>
      <c r="B10" s="30">
        <f>SUM(B8:B9)</f>
        <v>983805.23750699998</v>
      </c>
      <c r="C10" s="30">
        <f t="shared" ref="C10:E10" si="5">SUM(C8:C9)</f>
        <v>1043927.1058970001</v>
      </c>
      <c r="D10" s="30">
        <f t="shared" si="5"/>
        <v>1065746.6073100001</v>
      </c>
      <c r="E10" s="30">
        <f t="shared" si="5"/>
        <v>1057200.8647499999</v>
      </c>
      <c r="F10" s="30">
        <f t="shared" ref="F10:K10" si="6">SUM(F8:F9)</f>
        <v>1064787.4670839999</v>
      </c>
      <c r="G10" s="30">
        <f t="shared" si="6"/>
        <v>1072270.2663080001</v>
      </c>
      <c r="H10" s="30">
        <f t="shared" si="6"/>
        <v>1060787.8642210001</v>
      </c>
      <c r="I10" s="30">
        <f t="shared" si="6"/>
        <v>1048177.8728479999</v>
      </c>
      <c r="J10" s="30">
        <f t="shared" si="6"/>
        <v>1001193.097481</v>
      </c>
      <c r="K10" s="1003">
        <f t="shared" si="6"/>
        <v>0</v>
      </c>
      <c r="L10" s="903">
        <f>J10-G10</f>
        <v>-71077.168827000074</v>
      </c>
      <c r="M10" s="1002">
        <f t="shared" si="1"/>
        <v>-4.4825192922015873</v>
      </c>
      <c r="N10" s="1002">
        <f t="shared" si="2"/>
        <v>-5.9724941895830028</v>
      </c>
      <c r="O10" s="1002">
        <f t="shared" si="3"/>
        <v>-46984.775366999907</v>
      </c>
      <c r="P10" s="1002">
        <f t="shared" si="4"/>
        <v>-63594.369602999883</v>
      </c>
    </row>
    <row r="11" spans="1:23" x14ac:dyDescent="0.25">
      <c r="A11" s="25" t="s">
        <v>871</v>
      </c>
      <c r="B11" s="865">
        <v>0</v>
      </c>
      <c r="C11" s="14">
        <f>C10/B10*100-100</f>
        <v>6.1111555517178573</v>
      </c>
      <c r="D11" s="14">
        <f>D10/C10*100-100</f>
        <v>2.0901364941809248</v>
      </c>
      <c r="E11" s="14">
        <f t="shared" ref="E11" si="7">E10/D10*100-100</f>
        <v>-0.8018550095664807</v>
      </c>
      <c r="F11" s="14">
        <f t="shared" ref="F11" si="8">F10/E10*100-100</f>
        <v>0.71761219527510889</v>
      </c>
      <c r="G11" s="14">
        <f>G10/F10*100-100</f>
        <v>0.70275049766432574</v>
      </c>
      <c r="H11" s="14">
        <f>H10/G10*100-100</f>
        <v>-1.0708496213865715</v>
      </c>
      <c r="I11" s="14">
        <f>I10/H10*100-100</f>
        <v>-1.1887382763622156</v>
      </c>
      <c r="J11" s="14">
        <f>J10/I10*100-100</f>
        <v>-4.4825192922015873</v>
      </c>
      <c r="K11" s="14">
        <f>K10/J10*100-100</f>
        <v>-100</v>
      </c>
      <c r="L11" s="96"/>
      <c r="M11" s="96" t="s">
        <v>872</v>
      </c>
    </row>
    <row r="12" spans="1:23" x14ac:dyDescent="0.25">
      <c r="A12" s="15" t="s">
        <v>37</v>
      </c>
      <c r="B12" s="865">
        <f>B8/B10*100</f>
        <v>37.723076375913216</v>
      </c>
      <c r="C12" s="865">
        <f>C8/C10*100</f>
        <v>36.991534099039022</v>
      </c>
      <c r="D12" s="865">
        <f>D8/D10*100</f>
        <v>36.079084411962363</v>
      </c>
      <c r="E12" s="865">
        <f>E8/E10*100</f>
        <v>35.338898070930661</v>
      </c>
      <c r="F12" s="865">
        <f>F8/F10*100</f>
        <v>35.642034748523265</v>
      </c>
      <c r="G12" s="865">
        <f t="shared" ref="G12:H12" si="9">G8/G10*100</f>
        <v>36.130126399748477</v>
      </c>
      <c r="H12" s="865">
        <f t="shared" si="9"/>
        <v>36.159497912307138</v>
      </c>
      <c r="I12" s="865">
        <f>I8/I10*100</f>
        <v>35.8508227624543</v>
      </c>
      <c r="J12" s="865">
        <f>J8/J10*100</f>
        <v>36.027801099262504</v>
      </c>
      <c r="K12" s="865" t="e">
        <f>K8/K10*100</f>
        <v>#DIV/0!</v>
      </c>
    </row>
    <row r="13" spans="1:23" x14ac:dyDescent="0.25">
      <c r="A13" s="15" t="s">
        <v>38</v>
      </c>
      <c r="B13" s="865">
        <f>B9/B10*100</f>
        <v>62.276923624086791</v>
      </c>
      <c r="C13" s="865">
        <f>C9/C10*100</f>
        <v>63.008465900960978</v>
      </c>
      <c r="D13" s="865">
        <f>D9/D10*100</f>
        <v>63.92091558803763</v>
      </c>
      <c r="E13" s="865">
        <f t="shared" ref="E13:I13" si="10">E9/E10*100</f>
        <v>64.661101929069346</v>
      </c>
      <c r="F13" s="865">
        <f t="shared" si="10"/>
        <v>64.357965251476742</v>
      </c>
      <c r="G13" s="865">
        <f t="shared" si="10"/>
        <v>63.869873600251523</v>
      </c>
      <c r="H13" s="865">
        <f t="shared" si="10"/>
        <v>63.840502087692855</v>
      </c>
      <c r="I13" s="865">
        <f t="shared" si="10"/>
        <v>64.1491772375457</v>
      </c>
      <c r="J13" s="865">
        <f t="shared" ref="J13:K13" si="11">J9/J10*100</f>
        <v>63.972198900737496</v>
      </c>
      <c r="K13" s="865" t="e">
        <f t="shared" si="11"/>
        <v>#DIV/0!</v>
      </c>
      <c r="L13" s="86"/>
      <c r="M13" s="147"/>
      <c r="N13" s="147"/>
    </row>
    <row r="14" spans="1:23" ht="15.75" thickBot="1" x14ac:dyDescent="0.3">
      <c r="A14" s="12" t="s">
        <v>26</v>
      </c>
      <c r="B14" s="41">
        <f t="shared" ref="B14:F14" si="12">B10+B23</f>
        <v>1728513.3106280002</v>
      </c>
      <c r="C14" s="41">
        <f t="shared" si="12"/>
        <v>1775562.7611790001</v>
      </c>
      <c r="D14" s="41">
        <f t="shared" si="12"/>
        <v>1824144.1912780001</v>
      </c>
      <c r="E14" s="41">
        <f t="shared" si="12"/>
        <v>1806715.2050859998</v>
      </c>
      <c r="F14" s="41">
        <f t="shared" si="12"/>
        <v>1807316.9756379998</v>
      </c>
      <c r="G14" s="41">
        <f>G10+G23</f>
        <v>1778074.663218</v>
      </c>
      <c r="H14" s="41">
        <f>H10+H23</f>
        <v>1781897.0363680001</v>
      </c>
      <c r="I14" s="41">
        <f>I10+I23</f>
        <v>1804181.589681</v>
      </c>
      <c r="J14" s="41">
        <f>J10+J23</f>
        <v>1711793.7743619999</v>
      </c>
      <c r="K14" s="41">
        <f>K10+K23</f>
        <v>0</v>
      </c>
      <c r="M14" s="86">
        <f>J14/I14*100-100</f>
        <v>-5.1207603407224269</v>
      </c>
      <c r="N14" s="86">
        <f>J14/F14*100-100</f>
        <v>-5.2853596000933578</v>
      </c>
    </row>
    <row r="15" spans="1:23" ht="15.75" thickBot="1" x14ac:dyDescent="0.3">
      <c r="A15" s="21" t="s">
        <v>39</v>
      </c>
      <c r="B15" s="46">
        <v>0</v>
      </c>
      <c r="C15" s="40">
        <f t="shared" ref="C15:K15" si="13">C14/B14*100-100</f>
        <v>2.7219605577643051</v>
      </c>
      <c r="D15" s="40">
        <f t="shared" si="13"/>
        <v>2.736114496270531</v>
      </c>
      <c r="E15" s="40">
        <f t="shared" si="13"/>
        <v>-0.95546099235662041</v>
      </c>
      <c r="F15" s="40">
        <f t="shared" si="13"/>
        <v>3.3307438289440938E-2</v>
      </c>
      <c r="G15" s="40">
        <f t="shared" si="13"/>
        <v>-1.6179957812700252</v>
      </c>
      <c r="H15" s="40">
        <f t="shared" si="13"/>
        <v>0.21497258968203425</v>
      </c>
      <c r="I15" s="40">
        <f t="shared" si="13"/>
        <v>1.2506083605381662</v>
      </c>
      <c r="J15" s="40">
        <f t="shared" si="13"/>
        <v>-5.1207603407224269</v>
      </c>
      <c r="K15" s="40">
        <f t="shared" si="13"/>
        <v>-100</v>
      </c>
      <c r="M15" s="86"/>
      <c r="Q15" s="96" t="s">
        <v>173</v>
      </c>
      <c r="V15" s="898" t="s">
        <v>164</v>
      </c>
      <c r="W15" s="898" t="s">
        <v>165</v>
      </c>
    </row>
    <row r="16" spans="1:23" ht="15.75" thickBot="1" x14ac:dyDescent="0.3">
      <c r="A16" s="8" t="s">
        <v>30</v>
      </c>
      <c r="B16" s="9">
        <f t="shared" ref="B16:F16" si="14">B10/B14*100</f>
        <v>56.91626621894892</v>
      </c>
      <c r="C16" s="9">
        <f t="shared" si="14"/>
        <v>58.794154097026507</v>
      </c>
      <c r="D16" s="9">
        <f t="shared" si="14"/>
        <v>58.424471727935902</v>
      </c>
      <c r="E16" s="9">
        <f t="shared" si="14"/>
        <v>58.515080947673603</v>
      </c>
      <c r="F16" s="9">
        <f t="shared" si="14"/>
        <v>58.915369104421757</v>
      </c>
      <c r="G16" s="892">
        <f>G10/G14*100</f>
        <v>60.305131639825568</v>
      </c>
      <c r="H16" s="892">
        <f>H10/H14*100</f>
        <v>59.531378220549705</v>
      </c>
      <c r="I16" s="892">
        <f>I10/I14*100</f>
        <v>58.097138272723967</v>
      </c>
      <c r="J16" s="892">
        <f>J10/J14*100</f>
        <v>58.487950620929972</v>
      </c>
      <c r="K16" s="892" t="e">
        <f>K10/K14*100</f>
        <v>#DIV/0!</v>
      </c>
      <c r="Q16" s="27"/>
      <c r="U16" t="s">
        <v>899</v>
      </c>
      <c r="V16" s="86">
        <f>I8/I10*100</f>
        <v>35.8508227624543</v>
      </c>
      <c r="W16" s="86">
        <f>I21/I23*100</f>
        <v>0.71415926480063141</v>
      </c>
    </row>
    <row r="17" spans="1:23" ht="15.75" thickBot="1" x14ac:dyDescent="0.3">
      <c r="A17" s="22" t="s">
        <v>40</v>
      </c>
      <c r="B17" s="10">
        <v>0</v>
      </c>
      <c r="C17" s="10">
        <v>0</v>
      </c>
      <c r="D17" s="10">
        <v>0</v>
      </c>
      <c r="E17" s="10">
        <v>0</v>
      </c>
      <c r="F17" s="10">
        <f t="shared" ref="F17:K17" si="15">F10/B10*100-100</f>
        <v>8.2315306413911742</v>
      </c>
      <c r="G17" s="10">
        <f t="shared" si="15"/>
        <v>2.71505167850259</v>
      </c>
      <c r="H17" s="10">
        <f t="shared" si="15"/>
        <v>-0.46528349750192888</v>
      </c>
      <c r="I17" s="10">
        <f t="shared" si="15"/>
        <v>-0.85347942882488326</v>
      </c>
      <c r="J17" s="10">
        <f t="shared" si="15"/>
        <v>-5.9724941895830028</v>
      </c>
      <c r="K17" s="10">
        <f t="shared" si="15"/>
        <v>-100</v>
      </c>
      <c r="Q17" s="27"/>
      <c r="T17" s="1"/>
      <c r="U17" t="s">
        <v>900</v>
      </c>
      <c r="V17" s="86">
        <f>I9/I10*100</f>
        <v>64.1491772375457</v>
      </c>
      <c r="W17" s="86">
        <f>I22/I23*100</f>
        <v>99.285840735199372</v>
      </c>
    </row>
    <row r="18" spans="1:23" ht="15.75" thickBot="1" x14ac:dyDescent="0.3">
      <c r="A18" s="21" t="s">
        <v>41</v>
      </c>
      <c r="B18" s="40">
        <v>0</v>
      </c>
      <c r="C18" s="40">
        <v>0</v>
      </c>
      <c r="D18" s="40">
        <v>0</v>
      </c>
      <c r="E18" s="40">
        <v>0</v>
      </c>
      <c r="F18" s="40">
        <f t="shared" ref="F18:K18" si="16">F14/B14*100-100</f>
        <v>4.5590429952413274</v>
      </c>
      <c r="G18" s="40">
        <f t="shared" si="16"/>
        <v>0.14147075473309201</v>
      </c>
      <c r="H18" s="40">
        <f t="shared" si="16"/>
        <v>-2.3159986536152957</v>
      </c>
      <c r="I18" s="40">
        <f t="shared" si="16"/>
        <v>-0.14023324749067001</v>
      </c>
      <c r="J18" s="40">
        <f t="shared" si="16"/>
        <v>-5.2853596000933578</v>
      </c>
      <c r="K18" s="40">
        <f t="shared" si="16"/>
        <v>-100</v>
      </c>
    </row>
    <row r="19" spans="1:23" ht="15.75" thickBot="1" x14ac:dyDescent="0.3">
      <c r="J19" s="27"/>
      <c r="K19" s="27"/>
    </row>
    <row r="20" spans="1:23" ht="15.75" thickBot="1" x14ac:dyDescent="0.3">
      <c r="A20" s="3" t="s">
        <v>42</v>
      </c>
      <c r="B20" s="6" t="s">
        <v>824</v>
      </c>
      <c r="C20" s="7" t="s">
        <v>182</v>
      </c>
      <c r="D20" s="7" t="s">
        <v>803</v>
      </c>
      <c r="E20" s="7" t="s">
        <v>825</v>
      </c>
      <c r="F20" s="7" t="s">
        <v>826</v>
      </c>
      <c r="G20" s="7" t="s">
        <v>870</v>
      </c>
      <c r="H20" s="7" t="s">
        <v>887</v>
      </c>
      <c r="I20" s="7" t="s">
        <v>892</v>
      </c>
      <c r="J20" s="7" t="s">
        <v>1015</v>
      </c>
      <c r="K20" s="7" t="s">
        <v>1016</v>
      </c>
      <c r="L20" s="36" t="s">
        <v>889</v>
      </c>
      <c r="M20" s="35" t="s">
        <v>888</v>
      </c>
      <c r="N20" s="35" t="s">
        <v>187</v>
      </c>
      <c r="O20" s="35" t="s">
        <v>145</v>
      </c>
      <c r="P20" s="35" t="s">
        <v>146</v>
      </c>
    </row>
    <row r="21" spans="1:23" x14ac:dyDescent="0.25">
      <c r="A21" s="23" t="s">
        <v>34</v>
      </c>
      <c r="B21" s="16">
        <f>[3]allomanyi_adatok_ezerFt!$O$83</f>
        <v>5517.4280859999999</v>
      </c>
      <c r="C21" s="5">
        <f>[4]allomanyi_adatok_publi_ezerFt!$O$83</f>
        <v>5404.0613389999999</v>
      </c>
      <c r="D21" s="5">
        <f>[5]allomanyi_adatok_publi_ezerFt!$O$83</f>
        <v>5024.8401389999999</v>
      </c>
      <c r="E21" s="5">
        <f>[6]allomanyi_adatok_publi_ezerFt!$O$83</f>
        <v>4953.3059510000003</v>
      </c>
      <c r="F21" s="5">
        <f>[7]allomanyi_adatok_publi_ezerFt!$O$83</f>
        <v>4802.566914</v>
      </c>
      <c r="G21" s="5">
        <f>[2]allomanyi_adatok_publi_millióFt!$O$83</f>
        <v>4954.2694330000004</v>
      </c>
      <c r="H21" s="5">
        <f>[8]allomanyi_adatok_publi_millióFt!$O$83</f>
        <v>5342.7441099999996</v>
      </c>
      <c r="I21" s="5">
        <v>5399.0705859999998</v>
      </c>
      <c r="J21" s="5">
        <f>SUM(allomanyi!O83)</f>
        <v>5050.8842459999996</v>
      </c>
      <c r="K21" s="998"/>
      <c r="L21" s="999">
        <f>J21/J23*100</f>
        <v>0.71079080140615192</v>
      </c>
      <c r="M21" s="999">
        <f>J21/I21*100-100</f>
        <v>-6.4490051473462984</v>
      </c>
      <c r="N21" s="999">
        <f>J21/F21*100-100</f>
        <v>5.1705126955363596</v>
      </c>
      <c r="O21" s="1000">
        <f>J21-I21</f>
        <v>-348.1863400000002</v>
      </c>
      <c r="P21" s="1000">
        <f>J21-F21</f>
        <v>248.31733199999962</v>
      </c>
    </row>
    <row r="22" spans="1:23" x14ac:dyDescent="0.25">
      <c r="A22" s="19" t="s">
        <v>43</v>
      </c>
      <c r="B22" s="16">
        <f>[3]allomanyi_adatok_ezerFt!$O$179</f>
        <v>739190.64503500005</v>
      </c>
      <c r="C22" s="5">
        <f>[4]allomanyi_adatok_publi_ezerFt!$O$179</f>
        <v>726231.59394299996</v>
      </c>
      <c r="D22" s="5">
        <f>[5]allomanyi_adatok_publi_ezerFt!$O$179</f>
        <v>753372.74382900004</v>
      </c>
      <c r="E22" s="5">
        <f>[6]allomanyi_adatok_publi_ezerFt!$O$179</f>
        <v>744561.03438500001</v>
      </c>
      <c r="F22" s="5">
        <f>[7]allomanyi_adatok_publi_ezerFt!$O$179</f>
        <v>737726.94163999998</v>
      </c>
      <c r="G22" s="5">
        <f>[2]allomanyi_adatok_publi_millióFt!$O$179</f>
        <v>700850.127477</v>
      </c>
      <c r="H22" s="5">
        <f>[8]allomanyi_adatok_publi_millióFt!$O$179</f>
        <v>715766.42803700001</v>
      </c>
      <c r="I22" s="5">
        <v>750604.64624699997</v>
      </c>
      <c r="J22" s="5">
        <f>SUM(allomanyi!O179)</f>
        <v>705549.79263499996</v>
      </c>
      <c r="K22" s="988"/>
      <c r="L22" s="990">
        <f>J22/J23*100</f>
        <v>99.289209198593852</v>
      </c>
      <c r="M22" s="990">
        <f t="shared" ref="M22:M23" si="17">J22/I22*100-100</f>
        <v>-6.0024746499069579</v>
      </c>
      <c r="N22" s="990">
        <f t="shared" ref="N22:N23" si="18">J22/F22*100-100</f>
        <v>-4.3616610955631785</v>
      </c>
      <c r="O22" s="1001">
        <f t="shared" ref="O22:O23" si="19">J22-I22</f>
        <v>-45054.853612000006</v>
      </c>
      <c r="P22" s="1001">
        <f t="shared" ref="P22:P23" si="20">J22-F22</f>
        <v>-32177.149005000014</v>
      </c>
    </row>
    <row r="23" spans="1:23" x14ac:dyDescent="0.25">
      <c r="A23" s="20" t="s">
        <v>44</v>
      </c>
      <c r="B23" s="17">
        <f>SUM(B21:B22)</f>
        <v>744708.07312100008</v>
      </c>
      <c r="C23" s="17">
        <f t="shared" ref="C23:F23" si="21">SUM(C21:C22)</f>
        <v>731635.65528199996</v>
      </c>
      <c r="D23" s="17">
        <f t="shared" si="21"/>
        <v>758397.58396800002</v>
      </c>
      <c r="E23" s="17">
        <f t="shared" si="21"/>
        <v>749514.34033599996</v>
      </c>
      <c r="F23" s="17">
        <f t="shared" si="21"/>
        <v>742529.50855399994</v>
      </c>
      <c r="G23" s="17">
        <f>SUM(G21:G22)</f>
        <v>705804.39691000001</v>
      </c>
      <c r="H23" s="17">
        <f>SUM(H21:H22)</f>
        <v>721109.17214699998</v>
      </c>
      <c r="I23" s="17">
        <f>SUM(I21:I22)</f>
        <v>756003.71683299995</v>
      </c>
      <c r="J23" s="17">
        <f>SUM(J21:J22)</f>
        <v>710600.67688099993</v>
      </c>
      <c r="K23" s="1003">
        <f>SUM(K21:K22)</f>
        <v>0</v>
      </c>
      <c r="L23" s="903"/>
      <c r="M23" s="1002">
        <f t="shared" si="17"/>
        <v>-6.0056635888245893</v>
      </c>
      <c r="N23" s="1002">
        <f t="shared" si="18"/>
        <v>-4.3000084582736804</v>
      </c>
      <c r="O23" s="1002">
        <f t="shared" si="19"/>
        <v>-45403.039952000021</v>
      </c>
      <c r="P23" s="1002">
        <f t="shared" si="20"/>
        <v>-31928.831673000008</v>
      </c>
    </row>
    <row r="24" spans="1:23" x14ac:dyDescent="0.25">
      <c r="A24" s="25" t="s">
        <v>144</v>
      </c>
      <c r="B24" s="865">
        <v>0</v>
      </c>
      <c r="C24" s="14">
        <f>C23/B23*100-100</f>
        <v>-1.7553747986395365</v>
      </c>
      <c r="D24" s="14">
        <f>D23/C23*100-100</f>
        <v>3.6578218260405748</v>
      </c>
      <c r="E24" s="14">
        <f t="shared" ref="E24:F24" si="22">E23/D23*100-100</f>
        <v>-1.1713175015039212</v>
      </c>
      <c r="F24" s="14">
        <f t="shared" si="22"/>
        <v>-0.93191436188783427</v>
      </c>
      <c r="G24" s="14">
        <f>G23/F23*100-100</f>
        <v>-4.9459464197615972</v>
      </c>
      <c r="H24" s="14">
        <f>H23/G23*100-100</f>
        <v>2.1684159668038347</v>
      </c>
      <c r="I24" s="14">
        <f>I23/H23*100-100</f>
        <v>4.8390099632357249</v>
      </c>
      <c r="J24" s="14">
        <f>J23/I23*100-100</f>
        <v>-6.0056635888245893</v>
      </c>
      <c r="K24" s="14">
        <f>K23/J23*100-100</f>
        <v>-100</v>
      </c>
      <c r="L24" s="897"/>
      <c r="M24" s="96"/>
      <c r="N24" s="96" t="s">
        <v>873</v>
      </c>
    </row>
    <row r="25" spans="1:23" x14ac:dyDescent="0.25">
      <c r="A25" s="15" t="s">
        <v>45</v>
      </c>
      <c r="B25" s="865">
        <f>B21/B23*100</f>
        <v>0.74088468826139997</v>
      </c>
      <c r="C25" s="865">
        <f>C21/C23*100</f>
        <v>0.73862738919101345</v>
      </c>
      <c r="D25" s="865">
        <f>D8/D23*100</f>
        <v>50.70053309732382</v>
      </c>
      <c r="E25" s="865">
        <f t="shared" ref="E25:G25" si="23">E21/E23*100</f>
        <v>0.66086873651803402</v>
      </c>
      <c r="F25" s="865">
        <f t="shared" si="23"/>
        <v>0.64678465416849318</v>
      </c>
      <c r="G25" s="865">
        <f t="shared" si="23"/>
        <v>0.7019323561442391</v>
      </c>
      <c r="H25" s="865">
        <f t="shared" ref="H25:I25" si="24">H21/H23*100</f>
        <v>0.74090641422473369</v>
      </c>
      <c r="I25" s="865">
        <f t="shared" si="24"/>
        <v>0.71415926480063141</v>
      </c>
      <c r="J25" s="865">
        <f t="shared" ref="J25:K25" si="25">J21/J23*100</f>
        <v>0.71079080140615192</v>
      </c>
      <c r="K25" s="865" t="e">
        <f t="shared" si="25"/>
        <v>#DIV/0!</v>
      </c>
      <c r="L25" s="86"/>
      <c r="M25" s="86"/>
    </row>
    <row r="26" spans="1:23" x14ac:dyDescent="0.25">
      <c r="A26" s="15" t="s">
        <v>46</v>
      </c>
      <c r="B26" s="865">
        <f>B22/B23*100</f>
        <v>99.259115311738597</v>
      </c>
      <c r="C26" s="865">
        <f t="shared" ref="C26:G26" si="26">C22/C23*100</f>
        <v>99.261372610808991</v>
      </c>
      <c r="D26" s="865">
        <f>D9/D23*100</f>
        <v>89.825574822736272</v>
      </c>
      <c r="E26" s="865">
        <f t="shared" si="26"/>
        <v>99.339131263481974</v>
      </c>
      <c r="F26" s="865">
        <f t="shared" si="26"/>
        <v>99.353215345831515</v>
      </c>
      <c r="G26" s="865">
        <f t="shared" si="26"/>
        <v>99.298067643855759</v>
      </c>
      <c r="H26" s="865">
        <f t="shared" ref="H26:I26" si="27">H22/H23*100</f>
        <v>99.259093585775275</v>
      </c>
      <c r="I26" s="865">
        <f t="shared" si="27"/>
        <v>99.285840735199372</v>
      </c>
      <c r="J26" s="865">
        <f t="shared" ref="J26:K26" si="28">J22/J23*100</f>
        <v>99.289209198593852</v>
      </c>
      <c r="K26" s="865" t="e">
        <f t="shared" si="28"/>
        <v>#DIV/0!</v>
      </c>
      <c r="L26" s="86"/>
      <c r="M26" s="86"/>
    </row>
    <row r="27" spans="1:23" ht="15.75" thickBot="1" x14ac:dyDescent="0.3">
      <c r="A27" s="21" t="s">
        <v>26</v>
      </c>
      <c r="B27" s="44">
        <f t="shared" ref="B27:G27" si="29">B23+B10</f>
        <v>1728513.3106280002</v>
      </c>
      <c r="C27" s="44">
        <f t="shared" si="29"/>
        <v>1775562.7611790001</v>
      </c>
      <c r="D27" s="44">
        <f t="shared" si="29"/>
        <v>1824144.1912780001</v>
      </c>
      <c r="E27" s="44">
        <f t="shared" si="29"/>
        <v>1806715.2050859998</v>
      </c>
      <c r="F27" s="44">
        <f t="shared" si="29"/>
        <v>1807316.9756379998</v>
      </c>
      <c r="G27" s="44">
        <f t="shared" si="29"/>
        <v>1778074.663218</v>
      </c>
      <c r="H27" s="44">
        <f t="shared" ref="H27" si="30">H23+H10</f>
        <v>1781897.0363680001</v>
      </c>
      <c r="I27" s="44">
        <v>1804181.589681</v>
      </c>
      <c r="J27" s="44">
        <f>J10+J23</f>
        <v>1711793.7743619999</v>
      </c>
      <c r="K27" s="44"/>
    </row>
    <row r="28" spans="1:23" ht="15.75" thickBot="1" x14ac:dyDescent="0.3">
      <c r="A28" s="21" t="s">
        <v>827</v>
      </c>
      <c r="B28" s="46">
        <v>0</v>
      </c>
      <c r="C28" s="46">
        <v>0</v>
      </c>
      <c r="D28" s="46">
        <v>0</v>
      </c>
      <c r="E28" s="46">
        <v>0</v>
      </c>
      <c r="F28" s="46">
        <f t="shared" ref="F28:K28" si="31">F27/B27*100-100</f>
        <v>4.5590429952413274</v>
      </c>
      <c r="G28" s="46">
        <f t="shared" si="31"/>
        <v>0.14147075473309201</v>
      </c>
      <c r="H28" s="46">
        <f t="shared" si="31"/>
        <v>-2.3159986536152957</v>
      </c>
      <c r="I28" s="46">
        <f t="shared" si="31"/>
        <v>-0.14023324749067001</v>
      </c>
      <c r="J28" s="46">
        <f t="shared" si="31"/>
        <v>-5.2853596000933578</v>
      </c>
      <c r="K28" s="46">
        <f t="shared" si="31"/>
        <v>-100</v>
      </c>
    </row>
    <row r="29" spans="1:23" ht="15.75" thickBot="1" x14ac:dyDescent="0.3">
      <c r="A29" s="22" t="s">
        <v>31</v>
      </c>
      <c r="B29" s="18">
        <f>B23/B27*100</f>
        <v>43.08373378105108</v>
      </c>
      <c r="C29" s="18">
        <f t="shared" ref="C29:G29" si="32">C23/C27*100</f>
        <v>41.205845902973486</v>
      </c>
      <c r="D29" s="18">
        <f t="shared" si="32"/>
        <v>41.575528272064105</v>
      </c>
      <c r="E29" s="18">
        <f t="shared" si="32"/>
        <v>41.484919052326404</v>
      </c>
      <c r="F29" s="18">
        <f t="shared" si="32"/>
        <v>41.084630895578236</v>
      </c>
      <c r="G29" s="891">
        <f t="shared" si="32"/>
        <v>39.694868360174432</v>
      </c>
      <c r="H29" s="891">
        <f t="shared" ref="H29:I29" si="33">H23/H27*100</f>
        <v>40.468621779450302</v>
      </c>
      <c r="I29" s="891">
        <f t="shared" si="33"/>
        <v>41.902861727276026</v>
      </c>
      <c r="J29" s="891">
        <f t="shared" ref="J29:K29" si="34">J23/J27*100</f>
        <v>41.512049379070028</v>
      </c>
      <c r="K29" s="891" t="e">
        <f t="shared" si="34"/>
        <v>#DIV/0!</v>
      </c>
      <c r="Q29" s="96" t="s">
        <v>174</v>
      </c>
    </row>
    <row r="30" spans="1:23" ht="15.75" thickBot="1" x14ac:dyDescent="0.3">
      <c r="A30" s="22" t="s">
        <v>48</v>
      </c>
      <c r="B30" s="18">
        <v>0</v>
      </c>
      <c r="C30" s="18">
        <v>0</v>
      </c>
      <c r="D30" s="18">
        <v>0</v>
      </c>
      <c r="E30" s="18">
        <v>0</v>
      </c>
      <c r="F30" s="11">
        <f t="shared" ref="F30:K30" si="35">F23/B23*100-100</f>
        <v>-0.29253940512153065</v>
      </c>
      <c r="G30" s="11">
        <f t="shared" si="35"/>
        <v>-3.5306177583764224</v>
      </c>
      <c r="H30" s="11">
        <f t="shared" si="35"/>
        <v>-4.9167366311880727</v>
      </c>
      <c r="I30" s="11">
        <f t="shared" si="35"/>
        <v>0.86581085214338316</v>
      </c>
      <c r="J30" s="11">
        <f t="shared" si="35"/>
        <v>-4.3000084582736804</v>
      </c>
      <c r="K30" s="11">
        <f t="shared" si="35"/>
        <v>-100</v>
      </c>
      <c r="L30" s="2"/>
    </row>
    <row r="31" spans="1:23" x14ac:dyDescent="0.25">
      <c r="J31" s="27"/>
      <c r="K31" s="27"/>
    </row>
    <row r="32" spans="1:23" ht="15.75" thickBot="1" x14ac:dyDescent="0.3">
      <c r="B32" s="2"/>
      <c r="C32" s="2"/>
      <c r="D32" s="2"/>
      <c r="E32" s="2"/>
      <c r="F32" s="2"/>
      <c r="G32" s="2"/>
      <c r="H32" s="2"/>
      <c r="I32" s="2"/>
      <c r="J32" s="27"/>
      <c r="K32" s="27"/>
    </row>
    <row r="33" spans="1:16" ht="15.75" thickBot="1" x14ac:dyDescent="0.3">
      <c r="B33" s="6" t="s">
        <v>824</v>
      </c>
      <c r="C33" s="7" t="s">
        <v>182</v>
      </c>
      <c r="D33" s="7" t="s">
        <v>803</v>
      </c>
      <c r="E33" s="7" t="s">
        <v>825</v>
      </c>
      <c r="F33" s="7" t="s">
        <v>826</v>
      </c>
      <c r="G33" s="7" t="s">
        <v>870</v>
      </c>
      <c r="H33" s="7" t="s">
        <v>887</v>
      </c>
      <c r="I33" s="7" t="s">
        <v>892</v>
      </c>
      <c r="J33" s="7" t="s">
        <v>1015</v>
      </c>
      <c r="K33" s="7" t="s">
        <v>1016</v>
      </c>
      <c r="L33" s="96" t="s">
        <v>888</v>
      </c>
      <c r="M33" s="96" t="s">
        <v>187</v>
      </c>
      <c r="N33" s="96" t="s">
        <v>145</v>
      </c>
      <c r="O33" s="96" t="s">
        <v>146</v>
      </c>
    </row>
    <row r="34" spans="1:16" ht="15.75" thickBot="1" x14ac:dyDescent="0.3">
      <c r="A34" s="37" t="s">
        <v>868</v>
      </c>
      <c r="B34" s="885">
        <f>983805.237507/1000</f>
        <v>983.80523750700002</v>
      </c>
      <c r="C34" s="885">
        <f>1043927.105897/1000</f>
        <v>1043.927105897</v>
      </c>
      <c r="D34" s="885">
        <f>1065746.60731/1000</f>
        <v>1065.7466073100002</v>
      </c>
      <c r="E34" s="885">
        <f>1057200.86475/1000</f>
        <v>1057.2008647499999</v>
      </c>
      <c r="F34" s="885">
        <f>1064787.467084/1000</f>
        <v>1064.7874670839999</v>
      </c>
      <c r="G34" s="885">
        <f>G10/1000</f>
        <v>1072.2702663080001</v>
      </c>
      <c r="H34" s="885">
        <f>H10/1000</f>
        <v>1060.7878642210001</v>
      </c>
      <c r="I34" s="885">
        <f>1048177.872848/1000</f>
        <v>1048.1778728480001</v>
      </c>
      <c r="J34" s="885">
        <f>(SUM(J10/1000))</f>
        <v>1001.193097481</v>
      </c>
      <c r="K34" s="885">
        <f>(SUM(K10/1000))</f>
        <v>0</v>
      </c>
      <c r="L34" s="2"/>
      <c r="M34" s="2"/>
      <c r="N34" s="86"/>
      <c r="O34" s="86"/>
    </row>
    <row r="35" spans="1:16" ht="15.75" thickBot="1" x14ac:dyDescent="0.3">
      <c r="A35" s="38" t="s">
        <v>869</v>
      </c>
      <c r="B35" s="886">
        <f>744708.073121/1000</f>
        <v>744.70807312099998</v>
      </c>
      <c r="C35" s="886">
        <f>731635.655282/1000</f>
        <v>731.63565528200002</v>
      </c>
      <c r="D35" s="886">
        <f>758397.583968/1000</f>
        <v>758.39758396800005</v>
      </c>
      <c r="E35" s="886">
        <f>749514.340336/1000</f>
        <v>749.51434033599992</v>
      </c>
      <c r="F35" s="886">
        <f>742529.508554/1000</f>
        <v>742.5295085539999</v>
      </c>
      <c r="G35" s="886">
        <f>G23/1000</f>
        <v>705.80439691000004</v>
      </c>
      <c r="H35" s="886">
        <f>H23/1000</f>
        <v>721.10917214699998</v>
      </c>
      <c r="I35" s="886">
        <f>756003.716833/1000</f>
        <v>756.003716833</v>
      </c>
      <c r="J35" s="886">
        <f>(SUM(J23/1000))</f>
        <v>710.60067688099991</v>
      </c>
      <c r="K35" s="886">
        <f>(SUM(K23/1000))</f>
        <v>0</v>
      </c>
      <c r="L35" s="2"/>
      <c r="M35" s="2"/>
      <c r="N35" s="86">
        <f>5050.884246/1000</f>
        <v>5.0508842459999999</v>
      </c>
      <c r="O35" s="86">
        <f>710600.676881/1000</f>
        <v>710.60067688100003</v>
      </c>
      <c r="P35" s="2">
        <f>360707.85778/1000</f>
        <v>360.70785778000004</v>
      </c>
    </row>
    <row r="36" spans="1:16" ht="15.75" thickBot="1" x14ac:dyDescent="0.3">
      <c r="A36" s="56" t="s">
        <v>26</v>
      </c>
      <c r="B36" s="887">
        <v>1728.513310628</v>
      </c>
      <c r="C36" s="887">
        <f>1775562.761179/1000</f>
        <v>1775.5627611789998</v>
      </c>
      <c r="D36" s="887">
        <f>1824144.191278/1000</f>
        <v>1824.1441912779999</v>
      </c>
      <c r="E36" s="887">
        <f>1806715.205086/1000</f>
        <v>1806.715205086</v>
      </c>
      <c r="F36" s="887">
        <f>1807316.975638/1000</f>
        <v>1807.316975638</v>
      </c>
      <c r="G36" s="887">
        <f>SUM(G34:G35)</f>
        <v>1778.0746632180003</v>
      </c>
      <c r="H36" s="887">
        <f>SUM(H34:H35)</f>
        <v>1781.897036368</v>
      </c>
      <c r="I36" s="887">
        <f>1804181.589681/1000</f>
        <v>1804.1815896809999</v>
      </c>
      <c r="J36" s="887">
        <f>SUM(J34:J35)</f>
        <v>1711.793774362</v>
      </c>
      <c r="K36" s="887">
        <f>SUM(K34:K35)</f>
        <v>0</v>
      </c>
      <c r="L36" s="2"/>
      <c r="M36" s="2"/>
      <c r="N36" s="86">
        <f>705549.792635/1000</f>
        <v>705.54979263500002</v>
      </c>
      <c r="O36" s="86">
        <f>1001193.097481/1000</f>
        <v>1001.193097481</v>
      </c>
      <c r="P36" s="2">
        <f>640485.239701/1000</f>
        <v>640.48523970100007</v>
      </c>
    </row>
    <row r="37" spans="1:16" x14ac:dyDescent="0.25">
      <c r="B37" s="1"/>
      <c r="C37" s="1"/>
      <c r="D37" s="1"/>
      <c r="E37" s="1"/>
      <c r="F37" s="1"/>
      <c r="G37" s="1"/>
      <c r="H37" s="1"/>
      <c r="I37" s="1"/>
      <c r="L37" s="2"/>
      <c r="M37" s="2"/>
      <c r="O37" s="86">
        <f>SUM(1711793.774362)/1000</f>
        <v>1711.793774362</v>
      </c>
    </row>
    <row r="38" spans="1:16" x14ac:dyDescent="0.25">
      <c r="G38" s="86"/>
      <c r="H38" s="86"/>
      <c r="I38" s="86"/>
      <c r="L38" s="86"/>
    </row>
    <row r="39" spans="1:16" x14ac:dyDescent="0.25">
      <c r="G39" s="86"/>
      <c r="H39" s="86"/>
      <c r="I39" s="86"/>
      <c r="L39" s="86"/>
    </row>
    <row r="40" spans="1:16" x14ac:dyDescent="0.25">
      <c r="G40" s="86"/>
      <c r="H40" s="86"/>
      <c r="I40" s="86"/>
    </row>
  </sheetData>
  <pageMargins left="0.7" right="0.7" top="0.75" bottom="0.75" header="0.3" footer="0.3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"/>
  <sheetViews>
    <sheetView workbookViewId="0">
      <selection activeCell="J3" sqref="J3:J4"/>
    </sheetView>
  </sheetViews>
  <sheetFormatPr defaultRowHeight="15" x14ac:dyDescent="0.25"/>
  <cols>
    <col min="1" max="1" width="30.7109375" bestFit="1" customWidth="1"/>
    <col min="10" max="10" width="9.140625" customWidth="1"/>
  </cols>
  <sheetData>
    <row r="1" spans="1:11" ht="15.75" thickBot="1" x14ac:dyDescent="0.3">
      <c r="B1" s="1073" t="s">
        <v>876</v>
      </c>
      <c r="C1" s="1073"/>
      <c r="D1" s="1073"/>
      <c r="E1" s="1073"/>
      <c r="F1" s="1073"/>
      <c r="G1" s="1073"/>
      <c r="H1" s="1073"/>
      <c r="I1" s="1073"/>
      <c r="J1" s="1073"/>
      <c r="K1" s="1073"/>
    </row>
    <row r="2" spans="1:11" ht="15.75" thickBot="1" x14ac:dyDescent="0.3">
      <c r="B2" s="94" t="s">
        <v>824</v>
      </c>
      <c r="C2" s="94" t="s">
        <v>182</v>
      </c>
      <c r="D2" s="94" t="s">
        <v>803</v>
      </c>
      <c r="E2" s="94" t="s">
        <v>812</v>
      </c>
      <c r="F2" s="94" t="s">
        <v>826</v>
      </c>
      <c r="G2" s="94" t="s">
        <v>870</v>
      </c>
      <c r="H2" s="7" t="s">
        <v>887</v>
      </c>
      <c r="I2" s="7" t="s">
        <v>892</v>
      </c>
      <c r="J2" s="7" t="s">
        <v>1015</v>
      </c>
    </row>
    <row r="3" spans="1:11" ht="15.75" thickBot="1" x14ac:dyDescent="0.3">
      <c r="A3" s="8" t="s">
        <v>30</v>
      </c>
      <c r="B3" s="9">
        <f>'2. ábra'!B16</f>
        <v>56.91626621894892</v>
      </c>
      <c r="C3" s="9">
        <f>'2. ábra'!C16</f>
        <v>58.794154097026507</v>
      </c>
      <c r="D3" s="9">
        <f>'2. ábra'!D16</f>
        <v>58.424471727935902</v>
      </c>
      <c r="E3" s="9">
        <f>'2. ábra'!E16</f>
        <v>58.515080947673603</v>
      </c>
      <c r="F3" s="9">
        <f>'2. ábra'!F16</f>
        <v>58.915369104421757</v>
      </c>
      <c r="G3" s="9">
        <f>'2. ábra'!G16</f>
        <v>60.305131639825568</v>
      </c>
      <c r="H3" s="9">
        <f>'2. ábra'!H16</f>
        <v>59.531378220549705</v>
      </c>
      <c r="I3" s="9">
        <f>'2. ábra'!I16</f>
        <v>58.097138272723967</v>
      </c>
      <c r="J3" s="9">
        <f>'2. ábra'!J16</f>
        <v>58.487950620929972</v>
      </c>
    </row>
    <row r="4" spans="1:11" ht="15.75" thickBot="1" x14ac:dyDescent="0.3">
      <c r="A4" s="22" t="s">
        <v>31</v>
      </c>
      <c r="B4" s="18">
        <f>'2. ábra'!B29</f>
        <v>43.08373378105108</v>
      </c>
      <c r="C4" s="18">
        <f>'2. ábra'!C29</f>
        <v>41.205845902973486</v>
      </c>
      <c r="D4" s="18">
        <f>'2. ábra'!D29</f>
        <v>41.575528272064105</v>
      </c>
      <c r="E4" s="18">
        <f>'2. ábra'!E29</f>
        <v>41.484919052326404</v>
      </c>
      <c r="F4" s="18">
        <f>'2. ábra'!F29</f>
        <v>41.084630895578236</v>
      </c>
      <c r="G4" s="18">
        <f>'2. ábra'!G29</f>
        <v>39.694868360174432</v>
      </c>
      <c r="H4" s="18">
        <f>'2. ábra'!H29</f>
        <v>40.468621779450302</v>
      </c>
      <c r="I4" s="18">
        <f>'2. ábra'!I29</f>
        <v>41.902861727276026</v>
      </c>
      <c r="J4" s="18">
        <f>'2. ábra'!J29</f>
        <v>41.512049379070028</v>
      </c>
    </row>
  </sheetData>
  <mergeCells count="1">
    <mergeCell ref="B1:K1"/>
  </mergeCells>
  <pageMargins left="0.7" right="0.7" top="0.75" bottom="0.75" header="0.3" footer="0.3"/>
  <pageSetup paperSize="9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4"/>
  <sheetViews>
    <sheetView workbookViewId="0">
      <selection activeCell="J8" sqref="J8:J9"/>
    </sheetView>
  </sheetViews>
  <sheetFormatPr defaultRowHeight="15" x14ac:dyDescent="0.25"/>
  <cols>
    <col min="1" max="1" width="33.5703125" customWidth="1"/>
    <col min="2" max="7" width="9.5703125" bestFit="1" customWidth="1"/>
    <col min="8" max="9" width="8.85546875" customWidth="1"/>
    <col min="10" max="10" width="8.85546875" bestFit="1" customWidth="1"/>
    <col min="12" max="12" width="9.28515625" bestFit="1" customWidth="1"/>
  </cols>
  <sheetData>
    <row r="1" spans="1:17" ht="15.75" thickBot="1" x14ac:dyDescent="0.3">
      <c r="A1" t="s">
        <v>875</v>
      </c>
    </row>
    <row r="2" spans="1:17" ht="15.75" thickBot="1" x14ac:dyDescent="0.3">
      <c r="A2" s="33" t="s">
        <v>32</v>
      </c>
      <c r="B2" s="94" t="s">
        <v>824</v>
      </c>
      <c r="C2" s="94" t="s">
        <v>182</v>
      </c>
      <c r="D2" s="94" t="s">
        <v>803</v>
      </c>
      <c r="E2" s="94" t="s">
        <v>812</v>
      </c>
      <c r="F2" s="94" t="s">
        <v>826</v>
      </c>
      <c r="G2" s="94" t="s">
        <v>870</v>
      </c>
      <c r="H2" s="7" t="s">
        <v>887</v>
      </c>
      <c r="I2" s="7" t="s">
        <v>892</v>
      </c>
      <c r="J2" s="7" t="s">
        <v>1015</v>
      </c>
      <c r="K2" s="7" t="s">
        <v>1016</v>
      </c>
      <c r="N2" s="166" t="s">
        <v>828</v>
      </c>
      <c r="O2" s="166" t="s">
        <v>175</v>
      </c>
      <c r="P2" s="166" t="s">
        <v>829</v>
      </c>
      <c r="Q2" s="166" t="s">
        <v>176</v>
      </c>
    </row>
    <row r="3" spans="1:17" x14ac:dyDescent="0.25">
      <c r="A3" s="24" t="s">
        <v>34</v>
      </c>
      <c r="B3" s="4">
        <f>'2. ábra'!B8</f>
        <v>371121.601135</v>
      </c>
      <c r="C3" s="4">
        <f>'2. ábra'!C8</f>
        <v>386164.65134699998</v>
      </c>
      <c r="D3" s="4">
        <f>'2. ábra'!D8</f>
        <v>384511.61806900002</v>
      </c>
      <c r="E3" s="4">
        <f>'2. ábra'!E8</f>
        <v>373603.13599899999</v>
      </c>
      <c r="F3" s="4">
        <f>'2. ábra'!F8</f>
        <v>379511.919016</v>
      </c>
      <c r="G3" s="4">
        <v>387412.602564</v>
      </c>
      <c r="H3" s="866">
        <v>383575.56561699999</v>
      </c>
      <c r="I3" s="866">
        <v>375780.39143000002</v>
      </c>
      <c r="J3" s="1">
        <f>SUM('2. ábra'!J8)</f>
        <v>360707.85778000002</v>
      </c>
      <c r="N3" s="867">
        <f>J3/I3*100-100</f>
        <v>-4.0109952498167303</v>
      </c>
      <c r="O3" s="867">
        <f>J3/F3*100-100</f>
        <v>-4.954801231211718</v>
      </c>
      <c r="P3" s="867">
        <f>SUM(J3-I3)/1000</f>
        <v>-15.072533649999997</v>
      </c>
      <c r="Q3" s="867">
        <f>SUM(J3-F3)/1000</f>
        <v>-18.804061235999981</v>
      </c>
    </row>
    <row r="4" spans="1:17" x14ac:dyDescent="0.25">
      <c r="A4" s="25" t="s">
        <v>35</v>
      </c>
      <c r="B4" s="4">
        <f>'2. ábra'!B9</f>
        <v>612683.63637199998</v>
      </c>
      <c r="C4" s="4">
        <f>'2. ábra'!C9</f>
        <v>657762.45455000002</v>
      </c>
      <c r="D4" s="4">
        <f>'2. ábra'!D9</f>
        <v>681234.98924100003</v>
      </c>
      <c r="E4" s="4">
        <f>'2. ábra'!E9</f>
        <v>683597.72875100002</v>
      </c>
      <c r="F4" s="4">
        <f>'2. ábra'!F9</f>
        <v>685275.548068</v>
      </c>
      <c r="G4" s="4">
        <v>684857.66374400002</v>
      </c>
      <c r="H4" s="866">
        <v>677212.29860400001</v>
      </c>
      <c r="I4" s="866">
        <v>672397.48141799995</v>
      </c>
      <c r="J4" s="1">
        <f>'2. ábra'!J9</f>
        <v>640485.23970100004</v>
      </c>
      <c r="N4" s="867">
        <f>J4/I4*100-100</f>
        <v>-4.7460382584570482</v>
      </c>
      <c r="O4" s="867">
        <f>J4/F4*100-100</f>
        <v>-6.5361019364075474</v>
      </c>
      <c r="P4" s="867">
        <f>SUM(J4-I4)/1000</f>
        <v>-31.912241716999908</v>
      </c>
      <c r="Q4" s="867">
        <f>SUM(J4-F4)/1000</f>
        <v>-44.790308366999959</v>
      </c>
    </row>
    <row r="5" spans="1:17" ht="15.75" thickBot="1" x14ac:dyDescent="0.3">
      <c r="A5" s="62" t="s">
        <v>36</v>
      </c>
      <c r="B5" s="30">
        <f>SUM(B3:B4)</f>
        <v>983805.23750699998</v>
      </c>
      <c r="C5" s="30">
        <f t="shared" ref="C5:F5" si="0">SUM(C3:C4)</f>
        <v>1043927.1058970001</v>
      </c>
      <c r="D5" s="30">
        <f t="shared" si="0"/>
        <v>1065746.6073100001</v>
      </c>
      <c r="E5" s="30">
        <f t="shared" si="0"/>
        <v>1057200.8647499999</v>
      </c>
      <c r="F5" s="30">
        <f t="shared" si="0"/>
        <v>1064787.4670839999</v>
      </c>
      <c r="G5" s="30">
        <f>SUM(G3:G4)</f>
        <v>1072270.2663080001</v>
      </c>
      <c r="H5" s="30">
        <v>1060787.8642210001</v>
      </c>
      <c r="I5" s="30">
        <v>1048177.8728479999</v>
      </c>
      <c r="J5" s="30">
        <f>J3+J4</f>
        <v>1001193.097481</v>
      </c>
      <c r="N5" s="900">
        <f>J5/I5*100-100</f>
        <v>-4.4825192922015873</v>
      </c>
      <c r="O5" s="900">
        <f>J5/F5*100-100</f>
        <v>-5.9724941895830028</v>
      </c>
      <c r="P5" s="1047">
        <f>SUM(J5-I5)/1000</f>
        <v>-46.984775366999905</v>
      </c>
      <c r="Q5" s="1047">
        <f>SUM(J5-F5)/1000</f>
        <v>-63.594369602999883</v>
      </c>
    </row>
    <row r="6" spans="1:17" ht="15.75" thickBot="1" x14ac:dyDescent="0.3"/>
    <row r="7" spans="1:17" x14ac:dyDescent="0.25">
      <c r="B7" s="94" t="s">
        <v>824</v>
      </c>
      <c r="C7" s="94" t="s">
        <v>182</v>
      </c>
      <c r="D7" s="94" t="s">
        <v>803</v>
      </c>
      <c r="E7" s="94" t="s">
        <v>812</v>
      </c>
      <c r="F7" s="94" t="s">
        <v>826</v>
      </c>
      <c r="G7" s="94" t="s">
        <v>870</v>
      </c>
      <c r="H7" s="7" t="s">
        <v>887</v>
      </c>
      <c r="I7" s="7" t="s">
        <v>892</v>
      </c>
      <c r="J7" s="7" t="s">
        <v>1015</v>
      </c>
      <c r="K7" s="7" t="s">
        <v>1016</v>
      </c>
    </row>
    <row r="8" spans="1:17" x14ac:dyDescent="0.25">
      <c r="A8" t="s">
        <v>866</v>
      </c>
      <c r="B8" s="86">
        <v>371.12160113499999</v>
      </c>
      <c r="C8" s="86">
        <v>386.16465134699996</v>
      </c>
      <c r="D8" s="86">
        <v>384.51161806900001</v>
      </c>
      <c r="E8" s="86">
        <v>373.60313599900002</v>
      </c>
      <c r="F8" s="86">
        <v>379.51191901599998</v>
      </c>
      <c r="G8" s="86">
        <f>387412.602564/1000</f>
        <v>387.412602564</v>
      </c>
      <c r="H8" s="86">
        <f>H3/1000</f>
        <v>383.575565617</v>
      </c>
      <c r="I8" s="86">
        <f>I3/1000</f>
        <v>375.78039143000001</v>
      </c>
      <c r="J8" s="2">
        <f>(SUM(J3/1000))</f>
        <v>360.70785778000004</v>
      </c>
      <c r="K8" s="2">
        <f>(SUM(K3/1000))</f>
        <v>0</v>
      </c>
      <c r="N8" s="27"/>
      <c r="O8" s="27"/>
      <c r="P8" s="86"/>
      <c r="Q8" s="86"/>
    </row>
    <row r="9" spans="1:17" x14ac:dyDescent="0.25">
      <c r="A9" t="s">
        <v>867</v>
      </c>
      <c r="B9" s="86">
        <v>612.68363637200002</v>
      </c>
      <c r="C9" s="86">
        <v>657.76245455000003</v>
      </c>
      <c r="D9" s="86">
        <v>681.23498924099999</v>
      </c>
      <c r="E9" s="86">
        <v>683.59772875099998</v>
      </c>
      <c r="F9" s="86">
        <v>685.27554806800003</v>
      </c>
      <c r="G9" s="86">
        <f>684857.663744/1000</f>
        <v>684.85766374399998</v>
      </c>
      <c r="H9" s="86">
        <f>H4/1000</f>
        <v>677.21229860400001</v>
      </c>
      <c r="I9" s="86">
        <f>I4/1000</f>
        <v>672.39748141799998</v>
      </c>
      <c r="J9" s="2">
        <f>(SUM(J4/1000))</f>
        <v>640.48523970100007</v>
      </c>
      <c r="K9" s="2">
        <f>(SUM(K4/1000))</f>
        <v>0</v>
      </c>
      <c r="N9" s="27"/>
      <c r="O9" s="27"/>
      <c r="P9" s="86">
        <f>I9-H9</f>
        <v>-4.8148171860000275</v>
      </c>
      <c r="Q9" s="86">
        <f>I9-E9</f>
        <v>-11.200247332999993</v>
      </c>
    </row>
    <row r="10" spans="1:17" x14ac:dyDescent="0.25">
      <c r="Q10" s="866"/>
    </row>
    <row r="13" spans="1:17" x14ac:dyDescent="0.25">
      <c r="D13" s="1"/>
      <c r="E13" s="1"/>
    </row>
    <row r="14" spans="1:17" x14ac:dyDescent="0.25">
      <c r="D14" s="1"/>
      <c r="E14" s="1"/>
    </row>
  </sheetData>
  <pageMargins left="0.7" right="0.7" top="0.75" bottom="0.75" header="0.3" footer="0.3"/>
  <pageSetup paperSize="9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39"/>
  <sheetViews>
    <sheetView topLeftCell="A22" zoomScaleNormal="100" workbookViewId="0">
      <selection activeCell="J23" sqref="J23:J27"/>
    </sheetView>
  </sheetViews>
  <sheetFormatPr defaultRowHeight="15" x14ac:dyDescent="0.25"/>
  <cols>
    <col min="1" max="1" width="60.7109375" bestFit="1" customWidth="1"/>
    <col min="2" max="2" width="10.28515625" customWidth="1"/>
    <col min="3" max="3" width="10.5703125" customWidth="1"/>
    <col min="4" max="4" width="13.28515625" bestFit="1" customWidth="1"/>
    <col min="5" max="10" width="10.28515625" customWidth="1"/>
    <col min="11" max="11" width="13.28515625" bestFit="1" customWidth="1"/>
    <col min="12" max="12" width="16.140625" bestFit="1" customWidth="1"/>
    <col min="13" max="13" width="11.42578125" customWidth="1"/>
    <col min="14" max="14" width="11.7109375" bestFit="1" customWidth="1"/>
    <col min="15" max="15" width="5.140625" bestFit="1" customWidth="1"/>
    <col min="16" max="16" width="16.140625" bestFit="1" customWidth="1"/>
    <col min="17" max="17" width="9" bestFit="1" customWidth="1"/>
  </cols>
  <sheetData>
    <row r="1" spans="1:17" x14ac:dyDescent="0.25">
      <c r="B1" s="1073" t="s">
        <v>893</v>
      </c>
      <c r="C1" s="1073"/>
      <c r="D1" s="1073"/>
      <c r="E1" s="1073"/>
      <c r="F1" s="1073"/>
      <c r="G1" s="1073"/>
      <c r="H1" s="1073"/>
      <c r="I1" s="1073"/>
      <c r="J1" s="1073"/>
      <c r="K1" s="1073"/>
    </row>
    <row r="2" spans="1:17" ht="15.75" thickBot="1" x14ac:dyDescent="0.3">
      <c r="C2" s="74"/>
      <c r="D2" s="1"/>
      <c r="E2" s="74"/>
      <c r="F2" s="74"/>
      <c r="G2" s="74"/>
      <c r="H2" s="74"/>
      <c r="I2" s="74"/>
    </row>
    <row r="3" spans="1:17" ht="15.75" thickBot="1" x14ac:dyDescent="0.3">
      <c r="A3" s="33" t="s">
        <v>56</v>
      </c>
      <c r="B3" s="31" t="s">
        <v>824</v>
      </c>
      <c r="C3" s="31" t="s">
        <v>182</v>
      </c>
      <c r="D3" s="31" t="s">
        <v>803</v>
      </c>
      <c r="E3" s="31" t="s">
        <v>812</v>
      </c>
      <c r="F3" s="31" t="s">
        <v>830</v>
      </c>
      <c r="G3" s="31" t="s">
        <v>870</v>
      </c>
      <c r="H3" s="7" t="s">
        <v>887</v>
      </c>
      <c r="I3" s="7" t="s">
        <v>892</v>
      </c>
      <c r="J3" s="35" t="s">
        <v>1017</v>
      </c>
      <c r="N3" s="879" t="s">
        <v>186</v>
      </c>
      <c r="O3" s="879" t="s">
        <v>874</v>
      </c>
      <c r="P3" s="879" t="s">
        <v>145</v>
      </c>
      <c r="Q3" s="879" t="s">
        <v>146</v>
      </c>
    </row>
    <row r="4" spans="1:17" x14ac:dyDescent="0.25">
      <c r="A4" s="65" t="s">
        <v>34</v>
      </c>
      <c r="B4" s="893">
        <f>[9]allomanyi_adatok_ezerFt!$B$48+[9]allomanyi_adatok_ezerFt!$J$48</f>
        <v>250411.669047</v>
      </c>
      <c r="C4" s="894">
        <f>[10]allomanyi_adatok_publi_ezerFt!$B$48+[10]allomanyi_adatok_publi_ezerFt!$J$48</f>
        <v>253928.246059</v>
      </c>
      <c r="D4" s="894">
        <f>[11]allomanyi_adatok_publi_ezerFt!$B$48+[11]allomanyi_adatok_publi_ezerFt!$J$48</f>
        <v>255680.22156400001</v>
      </c>
      <c r="E4" s="894">
        <f>[12]allomanyi_adatok_publi_ezerFt!$B$48+[12]allomanyi_adatok_publi_ezerFt!$J$48</f>
        <v>255214.664422</v>
      </c>
      <c r="F4" s="894">
        <v>255554.014708</v>
      </c>
      <c r="G4" s="894">
        <f>[2]allomanyi_adatok_publi_millióFt!$B$48+[2]allomanyi_adatok_publi_millióFt!$J$48</f>
        <v>256175.15364999999</v>
      </c>
      <c r="H4" s="894">
        <f>[8]allomanyi_adatok_publi_millióFt!$B$48+[8]allomanyi_adatok_publi_millióFt!$J$48</f>
        <v>251278.76953799999</v>
      </c>
      <c r="I4" s="894">
        <v>249055.23195099999</v>
      </c>
      <c r="J4" s="880">
        <f>(SUM(allomanyi!B48+allomanyi!J48))</f>
        <v>241585.97204699999</v>
      </c>
      <c r="N4" s="990">
        <f>J4/I4*100-100</f>
        <v>-2.9990375409859098</v>
      </c>
      <c r="O4" s="990">
        <f>J4/F4*100-100</f>
        <v>-5.4657887793154458</v>
      </c>
      <c r="P4" s="880">
        <f>J4-I4</f>
        <v>-7469.2599040000059</v>
      </c>
      <c r="Q4" s="880">
        <f>J4-F4</f>
        <v>-13968.042661000014</v>
      </c>
    </row>
    <row r="5" spans="1:17" ht="15.75" thickBot="1" x14ac:dyDescent="0.3">
      <c r="A5" s="66" t="s">
        <v>35</v>
      </c>
      <c r="B5" s="752">
        <f>[9]allomanyi_adatok_ezerFt!$B$144+[9]allomanyi_adatok_ezerFt!$J$144</f>
        <v>313039.76097599999</v>
      </c>
      <c r="C5" s="284">
        <f>[10]allomanyi_adatok_publi_ezerFt!$B$144+[10]allomanyi_adatok_publi_ezerFt!$J$144</f>
        <v>329770.91399600002</v>
      </c>
      <c r="D5" s="284">
        <f>[11]allomanyi_adatok_publi_ezerFt!$B$144+[11]allomanyi_adatok_publi_ezerFt!$J$144</f>
        <v>344900.41934800002</v>
      </c>
      <c r="E5" s="284">
        <f>[12]allomanyi_adatok_publi_ezerFt!$B$144+[12]allomanyi_adatok_publi_ezerFt!$J$144</f>
        <v>358644.03732</v>
      </c>
      <c r="F5" s="284">
        <v>362450.74798300001</v>
      </c>
      <c r="G5" s="284">
        <f>[2]allomanyi_adatok_publi_millióFt!$B$144+[2]allomanyi_adatok_publi_millióFt!$J$144</f>
        <v>363419.67319</v>
      </c>
      <c r="H5" s="284">
        <f>[8]allomanyi_adatok_publi_millióFt!$B$144+[8]allomanyi_adatok_publi_millióFt!$J$144</f>
        <v>358594.46431700001</v>
      </c>
      <c r="I5" s="284">
        <v>354524.295927</v>
      </c>
      <c r="J5" s="983">
        <f>(SUM(allomanyi!B144+allomanyi!J144))</f>
        <v>349058.19452999998</v>
      </c>
      <c r="N5" s="990">
        <f t="shared" ref="N5:N6" si="0">J5/I5*100-100</f>
        <v>-1.5418129193959516</v>
      </c>
      <c r="O5" s="990">
        <f t="shared" ref="O5:O6" si="1">J5/F5*100-100</f>
        <v>-3.6949995351170344</v>
      </c>
      <c r="P5" s="880">
        <f t="shared" ref="P5:P6" si="2">J5-I5</f>
        <v>-5466.1013970000204</v>
      </c>
      <c r="Q5" s="880">
        <f t="shared" ref="Q5:Q6" si="3">J5-F5</f>
        <v>-13392.55345300003</v>
      </c>
    </row>
    <row r="6" spans="1:17" ht="15.75" thickBot="1" x14ac:dyDescent="0.3">
      <c r="A6" s="431" t="s">
        <v>853</v>
      </c>
      <c r="B6" s="251">
        <f t="shared" ref="B6:H6" si="4">SUM(B4:B5)</f>
        <v>563451.43002299999</v>
      </c>
      <c r="C6" s="869">
        <f t="shared" si="4"/>
        <v>583699.16005499999</v>
      </c>
      <c r="D6" s="869">
        <f t="shared" si="4"/>
        <v>600580.64091200009</v>
      </c>
      <c r="E6" s="869">
        <f t="shared" si="4"/>
        <v>613858.70174199995</v>
      </c>
      <c r="F6" s="869">
        <f t="shared" si="4"/>
        <v>618004.76269100001</v>
      </c>
      <c r="G6" s="869">
        <f t="shared" si="4"/>
        <v>619594.82683999999</v>
      </c>
      <c r="H6" s="869">
        <f t="shared" si="4"/>
        <v>609873.233855</v>
      </c>
      <c r="I6" s="869">
        <f>SUM(I4:I5)</f>
        <v>603579.52787799994</v>
      </c>
      <c r="J6" s="869">
        <f>SUM(J4:J5)</f>
        <v>590644.16657699994</v>
      </c>
      <c r="N6" s="991">
        <f t="shared" si="0"/>
        <v>-2.1431080252964847</v>
      </c>
      <c r="O6" s="991">
        <f t="shared" si="1"/>
        <v>-4.4272468054878544</v>
      </c>
      <c r="P6" s="903">
        <f t="shared" si="2"/>
        <v>-12935.361300999997</v>
      </c>
      <c r="Q6" s="903">
        <f t="shared" si="3"/>
        <v>-27360.596114000073</v>
      </c>
    </row>
    <row r="7" spans="1:17" ht="15.75" thickBot="1" x14ac:dyDescent="0.3">
      <c r="B7" s="1"/>
      <c r="C7" s="1"/>
      <c r="D7" s="1"/>
      <c r="E7" s="1"/>
      <c r="F7" s="1"/>
      <c r="G7" s="1"/>
      <c r="H7" s="1"/>
      <c r="I7" s="1"/>
      <c r="J7" s="27"/>
      <c r="K7" s="27"/>
    </row>
    <row r="8" spans="1:17" ht="15.75" thickBot="1" x14ac:dyDescent="0.3">
      <c r="A8" s="67" t="s">
        <v>62</v>
      </c>
      <c r="B8" s="94" t="s">
        <v>824</v>
      </c>
      <c r="C8" s="94" t="s">
        <v>182</v>
      </c>
      <c r="D8" s="94" t="s">
        <v>803</v>
      </c>
      <c r="E8" s="94" t="s">
        <v>812</v>
      </c>
      <c r="F8" s="94" t="s">
        <v>830</v>
      </c>
      <c r="G8" s="94" t="s">
        <v>870</v>
      </c>
      <c r="H8" s="7" t="s">
        <v>887</v>
      </c>
      <c r="I8" s="984" t="s">
        <v>892</v>
      </c>
      <c r="J8" s="35" t="s">
        <v>1017</v>
      </c>
      <c r="N8" s="879" t="s">
        <v>186</v>
      </c>
      <c r="O8" s="879" t="s">
        <v>874</v>
      </c>
      <c r="P8" s="879" t="s">
        <v>145</v>
      </c>
      <c r="Q8" s="879" t="s">
        <v>146</v>
      </c>
    </row>
    <row r="9" spans="1:17" x14ac:dyDescent="0.25">
      <c r="A9" s="68" t="s">
        <v>34</v>
      </c>
      <c r="B9" s="893">
        <f>[9]allomanyi_adatok_ezerFt!$C$48+[9]allomanyi_adatok_ezerFt!$K$48</f>
        <v>15843.066160999999</v>
      </c>
      <c r="C9" s="894">
        <f>[10]allomanyi_adatok_publi_ezerFt!$C$48+[10]allomanyi_adatok_publi_ezerFt!$K$48</f>
        <v>13742.055762</v>
      </c>
      <c r="D9" s="894">
        <f>[11]allomanyi_adatok_publi_ezerFt!$C$48</f>
        <v>14935.979735000001</v>
      </c>
      <c r="E9" s="894">
        <f>[12]allomanyi_adatok_publi_ezerFt!$C$48</f>
        <v>13754.260324999999</v>
      </c>
      <c r="F9" s="894">
        <v>13024.334833999999</v>
      </c>
      <c r="G9" s="894">
        <f>[2]allomanyi_adatok_publi_millióFt!$C$48</f>
        <v>11517.599093999999</v>
      </c>
      <c r="H9" s="894">
        <f>[8]allomanyi_adatok_publi_millióFt!$C$48</f>
        <v>11596.874329</v>
      </c>
      <c r="I9" s="985">
        <v>10622.886500000001</v>
      </c>
      <c r="J9" s="880">
        <f>(SUM(allomanyi!C48+allomanyi!K48))</f>
        <v>10341.748564</v>
      </c>
      <c r="N9" s="990">
        <f>J9/I9*100-100</f>
        <v>-2.6465305451583276</v>
      </c>
      <c r="O9" s="990">
        <f>J9/F9*100-100</f>
        <v>-20.596723780450688</v>
      </c>
      <c r="P9" s="880">
        <f>J9-I9</f>
        <v>-281.13793600000099</v>
      </c>
      <c r="Q9" s="880">
        <f>J9-F9</f>
        <v>-2682.5862699999998</v>
      </c>
    </row>
    <row r="10" spans="1:17" ht="15.75" thickBot="1" x14ac:dyDescent="0.3">
      <c r="A10" s="69" t="s">
        <v>35</v>
      </c>
      <c r="B10" s="752">
        <f>[9]allomanyi_adatok_ezerFt!$C$144+[9]allomanyi_adatok_ezerFt!$K$144</f>
        <v>148759.51940800002</v>
      </c>
      <c r="C10" s="284">
        <f>[10]allomanyi_adatok_publi_ezerFt!$C$144+[10]allomanyi_adatok_publi_ezerFt!$K$144</f>
        <v>169426.600336</v>
      </c>
      <c r="D10" s="284">
        <f>[11]allomanyi_adatok_publi_ezerFt!$C$144+[11]allomanyi_adatok_publi_ezerFt!$K$144</f>
        <v>174789.25562400001</v>
      </c>
      <c r="E10" s="284">
        <f>[12]allomanyi_adatok_publi_ezerFt!$C$144+[12]allomanyi_adatok_publi_ezerFt!$K$144</f>
        <v>181020.41968399999</v>
      </c>
      <c r="F10" s="284">
        <v>170504.99284700002</v>
      </c>
      <c r="G10" s="284">
        <f>[2]allomanyi_adatok_publi_millióFt!$C$144+[2]allomanyi_adatok_publi_millióFt!$K$144</f>
        <v>163462.62730700002</v>
      </c>
      <c r="H10" s="284">
        <f>[8]allomanyi_adatok_publi_millióFt!$C$144</f>
        <v>119414.784698</v>
      </c>
      <c r="I10" s="986">
        <v>145057.034835</v>
      </c>
      <c r="J10" s="880">
        <f>(SUM(allomanyi!C144+allomanyi!K144))</f>
        <v>122960.096678</v>
      </c>
      <c r="N10" s="990">
        <f t="shared" ref="N10:N11" si="5">J10/I10*100-100</f>
        <v>-15.233275781581284</v>
      </c>
      <c r="O10" s="990">
        <f t="shared" ref="O10" si="6">J10/F10*100-100</f>
        <v>-27.884753035744637</v>
      </c>
      <c r="P10" s="880">
        <f t="shared" ref="P10:P11" si="7">J10-I10</f>
        <v>-22096.938156999997</v>
      </c>
      <c r="Q10" s="880">
        <f t="shared" ref="Q10:Q11" si="8">J10-F10</f>
        <v>-47544.896169000014</v>
      </c>
    </row>
    <row r="11" spans="1:17" ht="15.75" thickBot="1" x14ac:dyDescent="0.3">
      <c r="A11" s="431" t="s">
        <v>854</v>
      </c>
      <c r="B11" s="251">
        <f t="shared" ref="B11:H11" si="9">SUM(B9:B10)</f>
        <v>164602.58556900002</v>
      </c>
      <c r="C11" s="869">
        <f t="shared" si="9"/>
        <v>183168.65609800001</v>
      </c>
      <c r="D11" s="869">
        <f t="shared" si="9"/>
        <v>189725.23535900001</v>
      </c>
      <c r="E11" s="869">
        <f t="shared" si="9"/>
        <v>194774.680009</v>
      </c>
      <c r="F11" s="869">
        <f t="shared" si="9"/>
        <v>183529.32768100002</v>
      </c>
      <c r="G11" s="869">
        <f t="shared" si="9"/>
        <v>174980.22640100002</v>
      </c>
      <c r="H11" s="869">
        <f t="shared" si="9"/>
        <v>131011.659027</v>
      </c>
      <c r="I11" s="987">
        <f>SUM(I9:I10)</f>
        <v>155679.92133499999</v>
      </c>
      <c r="J11" s="989">
        <f>SUM(J9:J10)</f>
        <v>133301.84524200001</v>
      </c>
      <c r="N11" s="991">
        <f t="shared" si="5"/>
        <v>-14.374413797939738</v>
      </c>
      <c r="O11" s="991">
        <f>J11/F11*100-100</f>
        <v>-27.367551046829135</v>
      </c>
      <c r="P11" s="903">
        <f t="shared" si="7"/>
        <v>-22378.076092999981</v>
      </c>
      <c r="Q11" s="903">
        <f t="shared" si="8"/>
        <v>-50227.482439000014</v>
      </c>
    </row>
    <row r="12" spans="1:17" ht="15.75" thickBot="1" x14ac:dyDescent="0.3">
      <c r="B12" s="74"/>
      <c r="C12" s="74"/>
      <c r="D12" s="74"/>
      <c r="E12" s="74"/>
      <c r="F12" s="74"/>
      <c r="G12" s="74"/>
      <c r="H12" s="74"/>
      <c r="I12" s="74"/>
      <c r="J12" s="27"/>
      <c r="K12" s="27"/>
    </row>
    <row r="13" spans="1:17" ht="15.75" thickBot="1" x14ac:dyDescent="0.3">
      <c r="A13" s="67" t="s">
        <v>65</v>
      </c>
      <c r="B13" s="94" t="s">
        <v>824</v>
      </c>
      <c r="C13" s="94" t="s">
        <v>182</v>
      </c>
      <c r="D13" s="94" t="s">
        <v>803</v>
      </c>
      <c r="E13" s="94" t="s">
        <v>812</v>
      </c>
      <c r="F13" s="94" t="s">
        <v>830</v>
      </c>
      <c r="G13" s="94" t="s">
        <v>870</v>
      </c>
      <c r="H13" s="7" t="s">
        <v>887</v>
      </c>
      <c r="I13" s="7" t="s">
        <v>892</v>
      </c>
      <c r="J13" s="35" t="s">
        <v>1017</v>
      </c>
      <c r="N13" s="879" t="s">
        <v>186</v>
      </c>
      <c r="O13" s="879" t="s">
        <v>874</v>
      </c>
      <c r="P13" s="879" t="s">
        <v>145</v>
      </c>
      <c r="Q13" s="879" t="s">
        <v>146</v>
      </c>
    </row>
    <row r="14" spans="1:17" x14ac:dyDescent="0.25">
      <c r="A14" s="68" t="s">
        <v>34</v>
      </c>
      <c r="B14" s="893">
        <f>[9]allomanyi_adatok_ezerFt!$E$48+[9]allomanyi_adatok_ezerFt!$F$48</f>
        <v>63520.548546999999</v>
      </c>
      <c r="C14" s="894">
        <f>[10]allomanyi_adatok_publi_ezerFt!$E$48+[10]allomanyi_adatok_publi_ezerFt!$F$48+[10]allomanyi_adatok_publi_ezerFt!$L$48</f>
        <v>75515.427916999994</v>
      </c>
      <c r="D14" s="894">
        <f>[11]allomanyi_adatok_publi_ezerFt!$E$48+[11]allomanyi_adatok_publi_ezerFt!$F$48+[11]allomanyi_adatok_publi_ezerFt!$L$48</f>
        <v>75239.096786999988</v>
      </c>
      <c r="E14" s="894">
        <f>[12]allomanyi_adatok_publi_ezerFt!$E$48+[12]allomanyi_adatok_publi_ezerFt!$F$48+[12]allomanyi_adatok_publi_ezerFt!$L$48</f>
        <v>70211.234786999994</v>
      </c>
      <c r="F14" s="894">
        <v>77048.681088000012</v>
      </c>
      <c r="G14" s="894">
        <f>[2]allomanyi_adatok_publi_millióFt!$E$48+[2]allomanyi_adatok_publi_millióFt!$F$48+[2]allomanyi_adatok_publi_millióFt!$L$48</f>
        <v>83371.458799</v>
      </c>
      <c r="H14" s="894">
        <f>[8]allomanyi_adatok_publi_millióFt!$E$48+[8]allomanyi_adatok_publi_millióFt!$F$48+[8]allomanyi_adatok_publi_millióFt!$L$48</f>
        <v>85845.460587999987</v>
      </c>
      <c r="I14" s="894">
        <v>85682.104506000003</v>
      </c>
      <c r="J14" s="880">
        <f>(SUM(allomanyi!E48+allomanyi!F48+allomanyi!L48))</f>
        <v>82148.180066999994</v>
      </c>
      <c r="N14" s="990">
        <f>J14/I14*100-100</f>
        <v>-4.1244603635436334</v>
      </c>
      <c r="O14" s="990">
        <f>J14/F14*100-100</f>
        <v>6.618541559687003</v>
      </c>
      <c r="P14" s="880">
        <f>J14-I14</f>
        <v>-3533.9244390000094</v>
      </c>
      <c r="Q14" s="880">
        <f>J14-F14</f>
        <v>5099.4989789999818</v>
      </c>
    </row>
    <row r="15" spans="1:17" ht="15.75" thickBot="1" x14ac:dyDescent="0.3">
      <c r="A15" s="69" t="s">
        <v>35</v>
      </c>
      <c r="B15" s="752">
        <f>[9]allomanyi_adatok_ezerFt!$E$144+[9]allomanyi_adatok_ezerFt!$F$144+[9]allomanyi_adatok_ezerFt!$L$144</f>
        <v>114562.974277</v>
      </c>
      <c r="C15" s="284">
        <f>[10]allomanyi_adatok_publi_ezerFt!$E$144+[10]allomanyi_adatok_publi_ezerFt!$F$144+[10]allomanyi_adatok_publi_ezerFt!$L$144</f>
        <v>117000.962621</v>
      </c>
      <c r="D15" s="284">
        <f>[11]allomanyi_adatok_publi_ezerFt!$E$144+[11]allomanyi_adatok_publi_ezerFt!$F$144+[11]allomanyi_adatok_publi_ezerFt!$L$144</f>
        <v>121201.43594700001</v>
      </c>
      <c r="E15" s="284">
        <f>[12]allomanyi_adatok_publi_ezerFt!$E$144+[12]allomanyi_adatok_publi_ezerFt!$F$144+[12]allomanyi_adatok_publi_ezerFt!$L$144</f>
        <v>112232.110556</v>
      </c>
      <c r="F15" s="284">
        <v>120463.67651</v>
      </c>
      <c r="G15" s="284">
        <f>[2]allomanyi_adatok_publi_millióFt!$E$144+[2]allomanyi_adatok_publi_millióFt!$F$144+[2]allomanyi_adatok_publi_millióFt!$L$144</f>
        <v>127420.48192800001</v>
      </c>
      <c r="H15" s="284">
        <f>[8]allomanyi_adatok_publi_millióFt!$E$144+[8]allomanyi_adatok_publi_millióFt!$F$144+[8]allomanyi_adatok_publi_millióFt!$L$144</f>
        <v>139796.775822</v>
      </c>
      <c r="I15" s="284">
        <v>146429.130638</v>
      </c>
      <c r="J15" s="880">
        <f>(SUM(allomanyi!E144+allomanyi!F144+allomanyi!L144))</f>
        <v>142897.127561</v>
      </c>
      <c r="N15" s="990">
        <f t="shared" ref="N15:N16" si="10">J15/I15*100-100</f>
        <v>-2.4120904505892042</v>
      </c>
      <c r="O15" s="990">
        <f t="shared" ref="O15:O16" si="11">J15/F15*100-100</f>
        <v>18.62258541406689</v>
      </c>
      <c r="P15" s="880">
        <f t="shared" ref="P15:P16" si="12">J15-I15</f>
        <v>-3532.0030770000012</v>
      </c>
      <c r="Q15" s="880">
        <f t="shared" ref="Q15:Q16" si="13">J15-F15</f>
        <v>22433.451050999996</v>
      </c>
    </row>
    <row r="16" spans="1:17" ht="15.75" thickBot="1" x14ac:dyDescent="0.3">
      <c r="A16" s="431" t="s">
        <v>855</v>
      </c>
      <c r="B16" s="251">
        <f t="shared" ref="B16:H16" si="14">SUM(B14:B15)</f>
        <v>178083.52282399999</v>
      </c>
      <c r="C16" s="869">
        <f t="shared" si="14"/>
        <v>192516.39053799998</v>
      </c>
      <c r="D16" s="869">
        <f t="shared" si="14"/>
        <v>196440.53273400001</v>
      </c>
      <c r="E16" s="869">
        <f t="shared" si="14"/>
        <v>182443.34534299999</v>
      </c>
      <c r="F16" s="869">
        <f t="shared" si="14"/>
        <v>197512.35759800003</v>
      </c>
      <c r="G16" s="869">
        <f t="shared" si="14"/>
        <v>210791.94072700001</v>
      </c>
      <c r="H16" s="869">
        <f t="shared" si="14"/>
        <v>225642.23640999998</v>
      </c>
      <c r="I16" s="869">
        <f>SUM(I14:I15)</f>
        <v>232111.23514400001</v>
      </c>
      <c r="J16" s="869">
        <f>SUM(J14:J15)</f>
        <v>225045.30762799998</v>
      </c>
      <c r="N16" s="991">
        <f t="shared" si="10"/>
        <v>-3.0441988349320468</v>
      </c>
      <c r="O16" s="991">
        <f t="shared" si="11"/>
        <v>13.939861973617965</v>
      </c>
      <c r="P16" s="903">
        <f t="shared" si="12"/>
        <v>-7065.9275160000252</v>
      </c>
      <c r="Q16" s="903">
        <f t="shared" si="13"/>
        <v>27532.950029999949</v>
      </c>
    </row>
    <row r="17" spans="1:17" ht="15.75" thickBot="1" x14ac:dyDescent="0.3">
      <c r="B17" s="27"/>
      <c r="C17" s="27"/>
      <c r="D17" s="27"/>
      <c r="E17" s="27"/>
      <c r="F17" s="27"/>
      <c r="G17" s="27"/>
      <c r="H17" s="27"/>
      <c r="I17" s="27"/>
      <c r="J17" s="27"/>
      <c r="K17" s="2"/>
    </row>
    <row r="18" spans="1:17" ht="15.75" thickBot="1" x14ac:dyDescent="0.3">
      <c r="A18" s="67" t="s">
        <v>67</v>
      </c>
      <c r="B18" s="94" t="s">
        <v>824</v>
      </c>
      <c r="C18" s="94" t="s">
        <v>182</v>
      </c>
      <c r="D18" s="94" t="s">
        <v>803</v>
      </c>
      <c r="E18" s="94" t="s">
        <v>812</v>
      </c>
      <c r="F18" s="94" t="s">
        <v>830</v>
      </c>
      <c r="G18" s="94" t="s">
        <v>870</v>
      </c>
      <c r="H18" s="7" t="s">
        <v>887</v>
      </c>
      <c r="I18" s="7" t="s">
        <v>892</v>
      </c>
      <c r="J18" s="35" t="s">
        <v>1017</v>
      </c>
      <c r="N18" s="879" t="s">
        <v>186</v>
      </c>
      <c r="O18" s="879" t="s">
        <v>874</v>
      </c>
      <c r="P18" s="879" t="s">
        <v>145</v>
      </c>
      <c r="Q18" s="879" t="s">
        <v>146</v>
      </c>
    </row>
    <row r="19" spans="1:17" x14ac:dyDescent="0.25">
      <c r="A19" s="68" t="s">
        <v>34</v>
      </c>
      <c r="B19" s="893">
        <f>[9]allomanyi_adatok_ezerFt!$H$48+[9]allomanyi_adatok_ezerFt!$M$48</f>
        <v>41346.313951000004</v>
      </c>
      <c r="C19" s="894">
        <f>[10]allomanyi_adatok_publi_ezerFt!$H$48+[10]allomanyi_adatok_publi_ezerFt!$M$48</f>
        <v>42978.921608999997</v>
      </c>
      <c r="D19" s="894">
        <f>[11]allomanyi_adatok_publi_ezerFt!$H$48+[11]allomanyi_adatok_publi_ezerFt!$M$48</f>
        <v>37475.8773</v>
      </c>
      <c r="E19" s="894">
        <f>[12]allomanyi_adatok_publi_ezerFt!$H$48+[12]allomanyi_adatok_publi_ezerFt!$M$48</f>
        <v>33274.211578999995</v>
      </c>
      <c r="F19" s="894">
        <v>32695.411714999998</v>
      </c>
      <c r="G19" s="894">
        <f>[2]allomanyi_adatok_publi_millióFt!$H$48+[2]allomanyi_adatok_publi_millióFt!$M$48</f>
        <v>35161.564317999997</v>
      </c>
      <c r="H19" s="894">
        <f>[8]allomanyi_adatok_publi_millióFt!$H$48+[8]allomanyi_adatok_publi_millióFt!$M$48</f>
        <v>33661.006318</v>
      </c>
      <c r="I19" s="894">
        <v>30420.168472999998</v>
      </c>
      <c r="J19" s="880">
        <f>(SUM(allomanyi!H48+allomanyi!M48))</f>
        <v>26631.957102</v>
      </c>
      <c r="N19" s="990">
        <f>J19/I19*100-100</f>
        <v>-12.452959865630902</v>
      </c>
      <c r="O19" s="990">
        <f>J19/F19*100-100</f>
        <v>-18.545276829220072</v>
      </c>
      <c r="P19" s="880">
        <f>J19-I19</f>
        <v>-3788.2113709999976</v>
      </c>
      <c r="Q19" s="880">
        <f>J19-F19</f>
        <v>-6063.4546129999981</v>
      </c>
    </row>
    <row r="20" spans="1:17" ht="15.75" thickBot="1" x14ac:dyDescent="0.3">
      <c r="A20" s="69" t="s">
        <v>35</v>
      </c>
      <c r="B20" s="752">
        <f>[9]allomanyi_adatok_ezerFt!$H$144+[9]allomanyi_adatok_ezerFt!$M$144</f>
        <v>36321.381711000002</v>
      </c>
      <c r="C20" s="284">
        <f>[10]allomanyi_adatok_publi_ezerFt!$H$144+[10]allomanyi_adatok_publi_ezerFt!$M$144</f>
        <v>41563.977597000005</v>
      </c>
      <c r="D20" s="284">
        <f>[11]allomanyi_adatok_publi_ezerFt!$H$144+[11]allomanyi_adatok_publi_ezerFt!$M$144</f>
        <v>40343.878321999997</v>
      </c>
      <c r="E20" s="284">
        <f>[12]allomanyi_adatok_publi_ezerFt!$H$144+[12]allomanyi_adatok_publi_ezerFt!$M$144</f>
        <v>31701.161190999999</v>
      </c>
      <c r="F20" s="284">
        <v>31856.130728</v>
      </c>
      <c r="G20" s="284">
        <f>[2]allomanyi_adatok_publi_millióFt!$H$144+[2]allomanyi_adatok_publi_millióFt!$M$144</f>
        <v>30554.881319</v>
      </c>
      <c r="H20" s="284">
        <f>[8]allomanyi_adatok_publi_millióFt!$H$144+[8]allomanyi_adatok_publi_millióFt!$M$144</f>
        <v>28943.736117</v>
      </c>
      <c r="I20" s="284">
        <v>26387.020018000003</v>
      </c>
      <c r="J20" s="880">
        <f>(SUM(allomanyi!H144+allomanyi!M144))</f>
        <v>25569.820932000002</v>
      </c>
      <c r="N20" s="990">
        <f t="shared" ref="N20" si="15">J20/I20*100-100</f>
        <v>-3.0969737599870939</v>
      </c>
      <c r="O20" s="990">
        <f t="shared" ref="O20:O21" si="16">J20/F20*100-100</f>
        <v>-19.7334379673255</v>
      </c>
      <c r="P20" s="880">
        <f t="shared" ref="P20:P21" si="17">J20-I20</f>
        <v>-817.19908600000053</v>
      </c>
      <c r="Q20" s="880">
        <f t="shared" ref="Q20:Q21" si="18">J20-F20</f>
        <v>-6286.3097959999977</v>
      </c>
    </row>
    <row r="21" spans="1:17" ht="15.75" thickBot="1" x14ac:dyDescent="0.3">
      <c r="A21" s="431" t="s">
        <v>856</v>
      </c>
      <c r="B21" s="251">
        <f t="shared" ref="B21:H21" si="19">SUM(B19:B20)</f>
        <v>77667.695662000013</v>
      </c>
      <c r="C21" s="869">
        <f t="shared" si="19"/>
        <v>84542.899206000002</v>
      </c>
      <c r="D21" s="869">
        <f t="shared" si="19"/>
        <v>77819.755621999997</v>
      </c>
      <c r="E21" s="869">
        <f t="shared" si="19"/>
        <v>64975.372769999994</v>
      </c>
      <c r="F21" s="869">
        <f t="shared" si="19"/>
        <v>64551.542442999998</v>
      </c>
      <c r="G21" s="869">
        <f t="shared" si="19"/>
        <v>65716.445636999997</v>
      </c>
      <c r="H21" s="869">
        <f t="shared" si="19"/>
        <v>62604.742435</v>
      </c>
      <c r="I21" s="869">
        <f>SUM(I19:I20)</f>
        <v>56807.188491000001</v>
      </c>
      <c r="J21" s="869">
        <f>SUM(J19:J20)</f>
        <v>52201.778034000003</v>
      </c>
      <c r="N21" s="991">
        <v>-3.0441988349320468</v>
      </c>
      <c r="O21" s="991">
        <f t="shared" si="16"/>
        <v>-19.131633329916212</v>
      </c>
      <c r="P21" s="903">
        <f t="shared" si="17"/>
        <v>-4605.4104569999981</v>
      </c>
      <c r="Q21" s="903">
        <f t="shared" si="18"/>
        <v>-12349.764408999996</v>
      </c>
    </row>
    <row r="22" spans="1:17" ht="15.75" thickBot="1" x14ac:dyDescent="0.3">
      <c r="A22" s="870" t="s">
        <v>831</v>
      </c>
      <c r="B22" s="748">
        <f t="shared" ref="B22:G22" si="20">B6+B11+B16+B21</f>
        <v>983805.23407799995</v>
      </c>
      <c r="C22" s="748">
        <f t="shared" si="20"/>
        <v>1043927.1058969999</v>
      </c>
      <c r="D22" s="748">
        <f t="shared" si="20"/>
        <v>1064566.1646270002</v>
      </c>
      <c r="E22" s="748">
        <f t="shared" si="20"/>
        <v>1056052.099864</v>
      </c>
      <c r="F22" s="748">
        <f t="shared" si="20"/>
        <v>1063597.9904130001</v>
      </c>
      <c r="G22" s="748">
        <f t="shared" si="20"/>
        <v>1071083.439605</v>
      </c>
      <c r="H22" s="1">
        <f>F4+F9+F14+F19</f>
        <v>378322.44234499999</v>
      </c>
      <c r="I22" s="1"/>
      <c r="J22" s="27"/>
      <c r="K22" s="27"/>
      <c r="Q22" s="27"/>
    </row>
    <row r="23" spans="1:17" x14ac:dyDescent="0.25">
      <c r="B23" s="94" t="s">
        <v>824</v>
      </c>
      <c r="C23" s="94" t="s">
        <v>182</v>
      </c>
      <c r="D23" s="94" t="s">
        <v>803</v>
      </c>
      <c r="E23" s="94" t="s">
        <v>812</v>
      </c>
      <c r="F23" s="94" t="s">
        <v>830</v>
      </c>
      <c r="G23" s="94" t="s">
        <v>870</v>
      </c>
      <c r="H23" s="7" t="s">
        <v>887</v>
      </c>
      <c r="I23" s="7" t="s">
        <v>892</v>
      </c>
      <c r="J23" s="7" t="s">
        <v>1017</v>
      </c>
      <c r="N23" s="96" t="s">
        <v>186</v>
      </c>
      <c r="O23" s="96" t="s">
        <v>874</v>
      </c>
      <c r="P23" s="96" t="s">
        <v>145</v>
      </c>
      <c r="Q23" s="96" t="s">
        <v>146</v>
      </c>
    </row>
    <row r="24" spans="1:17" x14ac:dyDescent="0.25">
      <c r="A24" t="s">
        <v>69</v>
      </c>
      <c r="B24" s="86">
        <f>563451.430023/1000</f>
        <v>563.45143002299994</v>
      </c>
      <c r="C24" s="86">
        <f>583699.160055/1000</f>
        <v>583.69916005499999</v>
      </c>
      <c r="D24" s="86">
        <f>600580.640912/1000</f>
        <v>600.58064091199992</v>
      </c>
      <c r="E24" s="882">
        <f>613858.701742/1000</f>
        <v>613.85870174199999</v>
      </c>
      <c r="F24" s="86">
        <f>618004.762691/1000</f>
        <v>618.004762691</v>
      </c>
      <c r="G24" s="86">
        <f>619594.82684/1000</f>
        <v>619.59482684</v>
      </c>
      <c r="H24" s="86">
        <f>H6/1000</f>
        <v>609.87323385499997</v>
      </c>
      <c r="I24" s="86">
        <f>603579.527878/1000</f>
        <v>603.57952787800002</v>
      </c>
      <c r="J24" s="1048">
        <f>(SUM(J6/1000))</f>
        <v>590.64416657699996</v>
      </c>
      <c r="K24" s="27"/>
      <c r="L24" s="86"/>
      <c r="M24" s="86"/>
    </row>
    <row r="25" spans="1:17" x14ac:dyDescent="0.25">
      <c r="A25" t="s">
        <v>70</v>
      </c>
      <c r="B25" s="86">
        <f>164602.585569/1000</f>
        <v>164.60258556899998</v>
      </c>
      <c r="C25" s="86">
        <f>183168.656098/1000</f>
        <v>183.16865609800001</v>
      </c>
      <c r="D25" s="86">
        <f>189725.235359/1000</f>
        <v>189.72523535900001</v>
      </c>
      <c r="E25" s="86">
        <f>194774.680009/1000</f>
        <v>194.77468000900001</v>
      </c>
      <c r="F25" s="86">
        <f>183529.327681/1000</f>
        <v>183.52932768099998</v>
      </c>
      <c r="G25" s="86">
        <f>174980.226401/1000</f>
        <v>174.98022640099998</v>
      </c>
      <c r="H25" s="86">
        <f>H11/1000</f>
        <v>131.01165902700001</v>
      </c>
      <c r="I25" s="86">
        <f>155679.921335/1000</f>
        <v>155.67992133499999</v>
      </c>
      <c r="J25" s="1048">
        <f>(SUM(J11/1000))</f>
        <v>133.30184524200001</v>
      </c>
      <c r="K25" s="27"/>
      <c r="L25" s="86"/>
      <c r="M25" s="86"/>
    </row>
    <row r="26" spans="1:17" x14ac:dyDescent="0.25">
      <c r="A26" t="s">
        <v>71</v>
      </c>
      <c r="B26" s="86">
        <f>178083.522824/1000</f>
        <v>178.08352282400003</v>
      </c>
      <c r="C26" s="86">
        <f>192516.390538/1000</f>
        <v>192.516390538</v>
      </c>
      <c r="D26" s="86">
        <f>196440.532734/1000</f>
        <v>196.44053273400002</v>
      </c>
      <c r="E26" s="86">
        <f>182443.345343/1000</f>
        <v>182.443345343</v>
      </c>
      <c r="F26" s="86">
        <f>197512.357598/1000</f>
        <v>197.51235759799999</v>
      </c>
      <c r="G26" s="86">
        <f>210791.940727/1000</f>
        <v>210.791940727</v>
      </c>
      <c r="H26" s="86">
        <f>H16/1000</f>
        <v>225.64223640999998</v>
      </c>
      <c r="I26" s="86">
        <f>232111.235144/1000</f>
        <v>232.11123514400001</v>
      </c>
      <c r="J26" s="1048">
        <f>(SUM(J16/1000))</f>
        <v>225.04530762799999</v>
      </c>
      <c r="K26" s="27"/>
      <c r="L26" s="86"/>
      <c r="M26" s="86"/>
    </row>
    <row r="27" spans="1:17" x14ac:dyDescent="0.25">
      <c r="A27" t="s">
        <v>72</v>
      </c>
      <c r="B27" s="86">
        <f>77667.695662/1000</f>
        <v>77.667695662</v>
      </c>
      <c r="C27" s="86">
        <f>84542.899206/1000</f>
        <v>84.542899206000001</v>
      </c>
      <c r="D27" s="86">
        <f>77819.755622/1000</f>
        <v>77.819755622000002</v>
      </c>
      <c r="E27" s="86">
        <f>64975.37277/1000</f>
        <v>64.975372770000007</v>
      </c>
      <c r="F27" s="86">
        <f>64551.542443/1000</f>
        <v>64.551542443000002</v>
      </c>
      <c r="G27" s="86">
        <f>65716.445637/1000</f>
        <v>65.716445636999993</v>
      </c>
      <c r="H27" s="86">
        <f>H21/1000</f>
        <v>62.604742434999999</v>
      </c>
      <c r="I27" s="86">
        <f>56807.188491/1000</f>
        <v>56.807188490999998</v>
      </c>
      <c r="J27" s="1048">
        <f>(SUM(J21/1000))</f>
        <v>52.201778034</v>
      </c>
      <c r="K27" s="27"/>
      <c r="L27" s="86"/>
      <c r="M27" s="86"/>
    </row>
    <row r="28" spans="1:17" x14ac:dyDescent="0.25">
      <c r="B28" s="1"/>
      <c r="C28" s="1"/>
      <c r="D28" s="1"/>
      <c r="E28" s="1"/>
      <c r="F28" s="1"/>
      <c r="G28" s="1"/>
      <c r="H28" s="1"/>
      <c r="I28" s="1"/>
      <c r="J28" s="1"/>
    </row>
    <row r="29" spans="1:17" x14ac:dyDescent="0.25">
      <c r="J29" s="96" t="s">
        <v>832</v>
      </c>
      <c r="M29" s="96" t="s">
        <v>834</v>
      </c>
    </row>
    <row r="30" spans="1:17" x14ac:dyDescent="0.25">
      <c r="I30" t="s">
        <v>69</v>
      </c>
      <c r="J30" s="86">
        <v>-2.1431080252964847</v>
      </c>
      <c r="L30" t="s">
        <v>72</v>
      </c>
      <c r="M30" s="86">
        <f>-4605.410457/1000</f>
        <v>-4.6054104569999996</v>
      </c>
      <c r="O30" s="86"/>
    </row>
    <row r="31" spans="1:17" x14ac:dyDescent="0.25">
      <c r="I31" t="s">
        <v>71</v>
      </c>
      <c r="J31" s="86">
        <v>-3.0441988349320468</v>
      </c>
      <c r="L31" t="s">
        <v>71</v>
      </c>
      <c r="M31" s="86">
        <f>-7065.92751600003/1000</f>
        <v>-7.0659275160000297</v>
      </c>
      <c r="O31" s="86"/>
    </row>
    <row r="32" spans="1:17" x14ac:dyDescent="0.25">
      <c r="I32" t="s">
        <v>72</v>
      </c>
      <c r="J32" s="86">
        <v>-3.0441988349320468</v>
      </c>
      <c r="L32" t="s">
        <v>69</v>
      </c>
      <c r="M32" s="86">
        <f>-12935.3613009999/1000</f>
        <v>-12.935361300999901</v>
      </c>
      <c r="O32" s="86"/>
    </row>
    <row r="33" spans="9:15" x14ac:dyDescent="0.25">
      <c r="I33" t="s">
        <v>70</v>
      </c>
      <c r="J33" s="86">
        <v>-14.374413797939738</v>
      </c>
      <c r="L33" t="s">
        <v>70</v>
      </c>
      <c r="M33" s="86">
        <f>-22378.076093/1000</f>
        <v>-22.378076093000001</v>
      </c>
      <c r="O33" s="86"/>
    </row>
    <row r="35" spans="9:15" x14ac:dyDescent="0.25">
      <c r="J35" s="96" t="s">
        <v>833</v>
      </c>
      <c r="M35" s="96" t="s">
        <v>835</v>
      </c>
    </row>
    <row r="36" spans="9:15" x14ac:dyDescent="0.25">
      <c r="I36" t="s">
        <v>71</v>
      </c>
      <c r="J36" s="86">
        <v>13.939861973617965</v>
      </c>
      <c r="L36" t="s">
        <v>71</v>
      </c>
      <c r="M36" s="86">
        <f>27532.9500299999/1000</f>
        <v>27.532950029999903</v>
      </c>
      <c r="O36" s="86"/>
    </row>
    <row r="37" spans="9:15" x14ac:dyDescent="0.25">
      <c r="I37" t="s">
        <v>69</v>
      </c>
      <c r="J37" s="86">
        <v>-4.4272468054878544</v>
      </c>
      <c r="L37" t="s">
        <v>72</v>
      </c>
      <c r="M37" s="86">
        <f>-12349.764409/1000</f>
        <v>-12.349764408999999</v>
      </c>
      <c r="O37" s="86"/>
    </row>
    <row r="38" spans="9:15" x14ac:dyDescent="0.25">
      <c r="I38" t="s">
        <v>72</v>
      </c>
      <c r="J38" s="86">
        <v>-19.131633329916212</v>
      </c>
      <c r="L38" t="s">
        <v>69</v>
      </c>
      <c r="M38" s="86">
        <f>-27360.596114/1000</f>
        <v>-27.360596114</v>
      </c>
      <c r="O38" s="86"/>
    </row>
    <row r="39" spans="9:15" x14ac:dyDescent="0.25">
      <c r="I39" t="s">
        <v>70</v>
      </c>
      <c r="J39" s="86">
        <v>-27.367551046829135</v>
      </c>
      <c r="L39" t="s">
        <v>70</v>
      </c>
      <c r="M39" s="86">
        <f>-50227.482439/1000</f>
        <v>-50.227482438999999</v>
      </c>
      <c r="O39" s="86"/>
    </row>
  </sheetData>
  <sortState ref="L36:M39">
    <sortCondition descending="1" ref="M36:M39"/>
  </sortState>
  <mergeCells count="1">
    <mergeCell ref="B1:K1"/>
  </mergeCells>
  <pageMargins left="0.7" right="0.7" top="0.75" bottom="0.75" header="0.3" footer="0.3"/>
  <pageSetup paperSize="9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5"/>
  <sheetViews>
    <sheetView workbookViewId="0">
      <selection activeCell="J2" sqref="J2:J4"/>
    </sheetView>
  </sheetViews>
  <sheetFormatPr defaultRowHeight="15" x14ac:dyDescent="0.25"/>
  <cols>
    <col min="1" max="1" width="40.140625" customWidth="1"/>
    <col min="10" max="10" width="9.140625" customWidth="1"/>
    <col min="11" max="11" width="13.28515625" bestFit="1" customWidth="1"/>
    <col min="12" max="12" width="18.42578125" bestFit="1" customWidth="1"/>
    <col min="13" max="13" width="11.140625" bestFit="1" customWidth="1"/>
    <col min="14" max="14" width="14.140625" bestFit="1" customWidth="1"/>
    <col min="16" max="16" width="18.42578125" bestFit="1" customWidth="1"/>
    <col min="17" max="17" width="11.140625" bestFit="1" customWidth="1"/>
  </cols>
  <sheetData>
    <row r="1" spans="1:17" ht="15.75" thickBot="1" x14ac:dyDescent="0.3">
      <c r="A1" s="1074" t="s">
        <v>894</v>
      </c>
      <c r="B1" s="1074"/>
      <c r="C1" s="1074"/>
      <c r="D1" s="1074"/>
      <c r="E1" s="1074"/>
      <c r="F1" s="1074"/>
      <c r="G1" s="1074"/>
      <c r="H1" s="1074"/>
      <c r="I1" s="1074"/>
    </row>
    <row r="2" spans="1:17" ht="15.75" thickBot="1" x14ac:dyDescent="0.3">
      <c r="A2" s="3" t="s">
        <v>42</v>
      </c>
      <c r="B2" s="94" t="s">
        <v>824</v>
      </c>
      <c r="C2" s="94" t="s">
        <v>182</v>
      </c>
      <c r="D2" s="94" t="s">
        <v>803</v>
      </c>
      <c r="E2" s="94" t="s">
        <v>812</v>
      </c>
      <c r="F2" s="94" t="s">
        <v>830</v>
      </c>
      <c r="G2" s="94" t="s">
        <v>870</v>
      </c>
      <c r="H2" s="7" t="s">
        <v>887</v>
      </c>
      <c r="I2" s="7" t="s">
        <v>892</v>
      </c>
      <c r="J2" s="7" t="s">
        <v>1017</v>
      </c>
      <c r="K2" s="7" t="s">
        <v>1018</v>
      </c>
      <c r="N2" s="151" t="s">
        <v>159</v>
      </c>
      <c r="O2" s="151" t="s">
        <v>160</v>
      </c>
      <c r="P2" s="151" t="s">
        <v>161</v>
      </c>
      <c r="Q2" s="151" t="s">
        <v>162</v>
      </c>
    </row>
    <row r="3" spans="1:17" x14ac:dyDescent="0.25">
      <c r="A3" s="23" t="s">
        <v>53</v>
      </c>
      <c r="B3" s="76">
        <f>5517.428086/1000</f>
        <v>5.5174280859999998</v>
      </c>
      <c r="C3" s="76">
        <f>5404.061339/1000</f>
        <v>5.4040613390000001</v>
      </c>
      <c r="D3" s="76">
        <f>5024.840139/1000</f>
        <v>5.0248401390000001</v>
      </c>
      <c r="E3" s="76">
        <f>4953.305951/1000</f>
        <v>4.9533059509999999</v>
      </c>
      <c r="F3" s="76">
        <f>4802.566914/1000</f>
        <v>4.8025669139999998</v>
      </c>
      <c r="G3" s="76">
        <f>4954.269433/1000</f>
        <v>4.9542694330000003</v>
      </c>
      <c r="H3" s="76">
        <f>5342.74411/1000</f>
        <v>5.3427441099999999</v>
      </c>
      <c r="I3" s="76">
        <f>5399.070586/1000</f>
        <v>5.3990705859999997</v>
      </c>
      <c r="J3" s="76">
        <f>(SUM('2. ábra'!J21))/1000</f>
        <v>5.0508842459999999</v>
      </c>
      <c r="K3" s="76"/>
      <c r="N3" s="86">
        <f>J3/I3*100-100</f>
        <v>-6.4490051473462984</v>
      </c>
      <c r="O3" s="86">
        <f>J3/F3*100-100</f>
        <v>5.170512695536388</v>
      </c>
      <c r="P3" s="86">
        <f>J3-I3</f>
        <v>-0.34818633999999982</v>
      </c>
      <c r="Q3" s="86">
        <f>J3-F3</f>
        <v>0.24831733200000006</v>
      </c>
    </row>
    <row r="4" spans="1:17" x14ac:dyDescent="0.25">
      <c r="A4" s="19" t="s">
        <v>54</v>
      </c>
      <c r="B4" s="76">
        <f>739190.645035/1000</f>
        <v>739.1906450350001</v>
      </c>
      <c r="C4" s="76">
        <f>726231.593943/1000</f>
        <v>726.23159394300001</v>
      </c>
      <c r="D4" s="76">
        <f>753372.743829/1000</f>
        <v>753.372743829</v>
      </c>
      <c r="E4" s="76">
        <f>744561.034385/1000</f>
        <v>744.56103438499997</v>
      </c>
      <c r="F4" s="76">
        <f>737726.94164/1000</f>
        <v>737.72694163999995</v>
      </c>
      <c r="G4" s="76">
        <f>700850.127477/1000</f>
        <v>700.850127477</v>
      </c>
      <c r="H4" s="76">
        <f>715766.428037/1000</f>
        <v>715.76642803699997</v>
      </c>
      <c r="I4" s="76">
        <f>750604.646247/1000</f>
        <v>750.60464624700001</v>
      </c>
      <c r="J4" s="76">
        <f>(SUM('2. ábra'!J22))/1000</f>
        <v>705.54979263500002</v>
      </c>
      <c r="K4" s="76"/>
      <c r="N4" s="86">
        <f t="shared" ref="N4:N5" si="0">J4/I4*100-100</f>
        <v>-6.0024746499069579</v>
      </c>
      <c r="O4" s="86">
        <f t="shared" ref="O4:O5" si="1">J4/F4*100-100</f>
        <v>-4.3616610955631785</v>
      </c>
      <c r="P4" s="86">
        <f t="shared" ref="P4:P5" si="2">J4-I4</f>
        <v>-45.054853611999988</v>
      </c>
      <c r="Q4" s="86">
        <f t="shared" ref="Q4:Q5" si="3">J4-F4</f>
        <v>-32.177149004999933</v>
      </c>
    </row>
    <row r="5" spans="1:17" x14ac:dyDescent="0.25">
      <c r="A5" s="20" t="s">
        <v>73</v>
      </c>
      <c r="B5" s="871">
        <f>744708.073121/1000</f>
        <v>744.70807312099998</v>
      </c>
      <c r="C5" s="871">
        <f>731635.655282/1000</f>
        <v>731.63565528200002</v>
      </c>
      <c r="D5" s="871">
        <f>758397.583968/1000</f>
        <v>758.39758396800005</v>
      </c>
      <c r="E5" s="871">
        <f>749514.340336/1000</f>
        <v>749.51434033599992</v>
      </c>
      <c r="F5" s="871">
        <f>742529.508554/1000</f>
        <v>742.5295085539999</v>
      </c>
      <c r="G5" s="871">
        <f>700850.127477/1000</f>
        <v>700.850127477</v>
      </c>
      <c r="H5" s="871">
        <f>721109.172147/1000</f>
        <v>721.10917214699998</v>
      </c>
      <c r="I5" s="871">
        <f>756003.716833/1000</f>
        <v>756.003716833</v>
      </c>
      <c r="J5" s="871">
        <f>SUM(J3:J4)</f>
        <v>710.60067688100003</v>
      </c>
      <c r="K5" s="871"/>
      <c r="M5" s="86">
        <f>J5-I5</f>
        <v>-45.403039951999972</v>
      </c>
      <c r="N5" s="992">
        <f t="shared" si="0"/>
        <v>-6.0056635888245893</v>
      </c>
      <c r="O5" s="992">
        <f t="shared" si="1"/>
        <v>-4.3000084582736662</v>
      </c>
      <c r="P5" s="992">
        <f t="shared" si="2"/>
        <v>-45.403039951999972</v>
      </c>
      <c r="Q5" s="992">
        <f t="shared" si="3"/>
        <v>-31.928831672999877</v>
      </c>
    </row>
  </sheetData>
  <mergeCells count="1">
    <mergeCell ref="A1:I1"/>
  </mergeCells>
  <pageMargins left="0.7" right="0.7" top="0.75" bottom="0.75" header="0.3" footer="0.3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4"/>
  <sheetViews>
    <sheetView topLeftCell="A8" zoomScaleNormal="100" workbookViewId="0">
      <pane xSplit="1" topLeftCell="B1" activePane="topRight" state="frozen"/>
      <selection pane="topRight" activeCell="J8" sqref="J8:J12"/>
    </sheetView>
  </sheetViews>
  <sheetFormatPr defaultRowHeight="15" x14ac:dyDescent="0.25"/>
  <cols>
    <col min="1" max="1" width="67.7109375" bestFit="1" customWidth="1"/>
    <col min="10" max="10" width="9.140625" customWidth="1"/>
    <col min="11" max="11" width="13.28515625" bestFit="1" customWidth="1"/>
    <col min="12" max="12" width="16.140625" bestFit="1" customWidth="1"/>
    <col min="13" max="13" width="9" bestFit="1" customWidth="1"/>
    <col min="14" max="14" width="16.140625" bestFit="1" customWidth="1"/>
  </cols>
  <sheetData>
    <row r="1" spans="1:15" ht="15.75" thickBot="1" x14ac:dyDescent="0.3">
      <c r="A1" s="1073" t="s">
        <v>895</v>
      </c>
      <c r="B1" s="1073"/>
      <c r="C1" s="1073"/>
      <c r="D1" s="1073"/>
      <c r="E1" s="1073"/>
      <c r="F1" s="1073"/>
      <c r="G1" s="1073"/>
      <c r="H1" s="1073"/>
      <c r="I1" s="1073"/>
    </row>
    <row r="2" spans="1:15" x14ac:dyDescent="0.25">
      <c r="B2" s="94" t="s">
        <v>824</v>
      </c>
      <c r="C2" s="94" t="s">
        <v>182</v>
      </c>
      <c r="D2" s="94" t="s">
        <v>803</v>
      </c>
      <c r="E2" s="94" t="s">
        <v>812</v>
      </c>
      <c r="F2" s="94" t="s">
        <v>830</v>
      </c>
      <c r="G2" s="94" t="s">
        <v>870</v>
      </c>
      <c r="H2" s="94" t="s">
        <v>887</v>
      </c>
      <c r="I2" s="94" t="s">
        <v>892</v>
      </c>
      <c r="J2" s="94" t="s">
        <v>1017</v>
      </c>
      <c r="L2" s="96" t="s">
        <v>814</v>
      </c>
      <c r="M2" s="96" t="s">
        <v>813</v>
      </c>
      <c r="N2" s="96" t="s">
        <v>145</v>
      </c>
      <c r="O2" s="96" t="s">
        <v>146</v>
      </c>
    </row>
    <row r="3" spans="1:15" x14ac:dyDescent="0.25">
      <c r="A3" s="20" t="s">
        <v>88</v>
      </c>
      <c r="B3" s="82">
        <f>[3]allomanyi_adatok_ezerFt!$B$83+[3]allomanyi_adatok_ezerFt!$B$179+[3]allomanyi_adatok_ezerFt!$J$179</f>
        <v>270358.57995099999</v>
      </c>
      <c r="C3" s="82">
        <f>[4]allomanyi_adatok_publi_ezerFt!$B$83+[4]allomanyi_adatok_publi_ezerFt!$B$179+[4]allomanyi_adatok_publi_ezerFt!$J$179</f>
        <v>281610.665645</v>
      </c>
      <c r="D3" s="82">
        <f>[5]allomanyi_adatok_publi_ezerFt!$B$83+[5]allomanyi_adatok_publi_ezerFt!$B$179+[5]allomanyi_adatok_publi_ezerFt!$J$179</f>
        <v>294343.45491999999</v>
      </c>
      <c r="E3" s="82">
        <f>[6]allomanyi_adatok_publi_ezerFt!$B$83+[6]allomanyi_adatok_publi_ezerFt!$B$179+[6]allomanyi_adatok_publi_ezerFt!$J$179</f>
        <v>295416.37866799999</v>
      </c>
      <c r="F3" s="82">
        <f>[7]allomanyi_adatok_publi_ezerFt!$B$83+[7]allomanyi_adatok_publi_ezerFt!$B$179+[7]allomanyi_adatok_publi_ezerFt!$J$179</f>
        <v>302962.74810299999</v>
      </c>
      <c r="G3" s="82">
        <f>[2]allomanyi_adatok_publi_millióFt!$B$83+[2]allomanyi_adatok_publi_millióFt!$B$179+[2]allomanyi_adatok_publi_millióFt!$J$179</f>
        <v>302202.32886300003</v>
      </c>
      <c r="H3" s="82">
        <f>[8]allomanyi_adatok_publi_millióFt!$B$83+[8]allomanyi_adatok_publi_millióFt!$B$179+[8]allomanyi_adatok_publi_millióFt!$J$179</f>
        <v>296883.43156599998</v>
      </c>
      <c r="I3" s="82">
        <v>306076.17142999999</v>
      </c>
      <c r="J3" s="880">
        <f>(SUM(allomanyi!B83+allomanyi!J47+allomanyi!B179+allomanyi!J179))</f>
        <v>301679.72281399998</v>
      </c>
      <c r="L3" s="27">
        <f>J3/I3*100-100</f>
        <v>-1.4363903584717548</v>
      </c>
      <c r="M3" s="27">
        <f>J3/F3*100-100</f>
        <v>-0.42349275514355611</v>
      </c>
      <c r="N3" s="1">
        <f>J3-I3</f>
        <v>-4396.4486160000088</v>
      </c>
      <c r="O3" s="1">
        <f>J3-F3</f>
        <v>-1283.025289000012</v>
      </c>
    </row>
    <row r="4" spans="1:15" x14ac:dyDescent="0.25">
      <c r="A4" s="20" t="s">
        <v>89</v>
      </c>
      <c r="B4" s="5">
        <f>[3]allomanyi_adatok_ezerFt!$C$83+[3]allomanyi_adatok_ezerFt!$C$179+[3]allomanyi_adatok_ezerFt!$K$179</f>
        <v>181333.74860199998</v>
      </c>
      <c r="C4" s="5">
        <f>[4]allomanyi_adatok_publi_ezerFt!$C$83+[4]allomanyi_adatok_publi_ezerFt!$C$179+[4]allomanyi_adatok_publi_ezerFt!$K$179</f>
        <v>202235.211817</v>
      </c>
      <c r="D4" s="5">
        <f>[5]allomanyi_adatok_publi_ezerFt!$C$83+[5]allomanyi_adatok_publi_ezerFt!$C$179+[5]allomanyi_adatok_publi_ezerFt!$K$179</f>
        <v>218970.940787</v>
      </c>
      <c r="E4" s="5">
        <f>[6]allomanyi_adatok_publi_ezerFt!$C$83+[6]allomanyi_adatok_publi_ezerFt!$C$179+[6]allomanyi_adatok_publi_ezerFt!$K$179</f>
        <v>233547.44399</v>
      </c>
      <c r="F4" s="5">
        <f>[7]allomanyi_adatok_publi_ezerFt!$C$83+[7]allomanyi_adatok_publi_ezerFt!$C$179+[7]allomanyi_adatok_publi_ezerFt!$K$179</f>
        <v>215956.38387899997</v>
      </c>
      <c r="G4" s="5">
        <f>[2]allomanyi_adatok_publi_millióFt!$C$83+[2]allomanyi_adatok_publi_millióFt!$C$179+[2]allomanyi_adatok_publi_millióFt!$K$179</f>
        <v>199928.10893300001</v>
      </c>
      <c r="H4" s="5">
        <f>[8]allomanyi_adatok_publi_millióFt!$C$83+[8]allomanyi_adatok_publi_millióFt!$C$179+[8]allomanyi_adatok_publi_millióFt!$K$179</f>
        <v>199248.82109400001</v>
      </c>
      <c r="I4" s="5">
        <v>202163.26460300002</v>
      </c>
      <c r="J4" s="880">
        <f>(SUM(allomanyi!C83+allomanyi!K83+allomanyi!C179+allomanyi!K179))</f>
        <v>172731.64305400001</v>
      </c>
      <c r="L4" s="27">
        <f t="shared" ref="L4:L6" si="0">J4/I4*100-100</f>
        <v>-14.558343033684494</v>
      </c>
      <c r="M4" s="27">
        <f t="shared" ref="M4:M6" si="1">J4/F4*100-100</f>
        <v>-20.015495744371563</v>
      </c>
      <c r="N4" s="1">
        <f t="shared" ref="N4:N6" si="2">J4-I4</f>
        <v>-29431.621549000003</v>
      </c>
      <c r="O4" s="1">
        <f t="shared" ref="O4:O6" si="3">J4-F4</f>
        <v>-43224.740824999957</v>
      </c>
    </row>
    <row r="5" spans="1:15" x14ac:dyDescent="0.25">
      <c r="A5" s="20" t="s">
        <v>90</v>
      </c>
      <c r="B5" s="83">
        <f>[3]allomanyi_adatok_ezerFt!$E$83+[3]allomanyi_adatok_ezerFt!$F$83+[3]allomanyi_adatok_ezerFt!$E$179+[3]allomanyi_adatok_ezerFt!$F$179+[3]allomanyi_adatok_ezerFt!$L$179</f>
        <v>241350.22582300002</v>
      </c>
      <c r="C5" s="83">
        <f>[4]allomanyi_adatok_publi_ezerFt!$E$83+[4]allomanyi_adatok_publi_ezerFt!$F$83+[4]allomanyi_adatok_publi_ezerFt!$E$179+[4]allomanyi_adatok_publi_ezerFt!$F$179+[4]allomanyi_adatok_publi_ezerFt!$L$179</f>
        <v>197243.064572</v>
      </c>
      <c r="D5" s="83">
        <f>[5]allomanyi_adatok_publi_ezerFt!$E$83+[5]allomanyi_adatok_publi_ezerFt!$F$83+[5]allomanyi_adatok_publi_ezerFt!$E$179+[5]allomanyi_adatok_publi_ezerFt!$F$179+[5]allomanyi_adatok_publi_ezerFt!$L$179</f>
        <v>194729.09168299998</v>
      </c>
      <c r="E5" s="83">
        <f>[6]allomanyi_adatok_publi_ezerFt!$E$83+[6]allomanyi_adatok_publi_ezerFt!$F$83+[6]allomanyi_adatok_publi_ezerFt!$E$179+[6]allomanyi_adatok_publi_ezerFt!$F$179+[6]allomanyi_adatok_publi_ezerFt!$L$179</f>
        <v>170012.66267500003</v>
      </c>
      <c r="F5" s="83">
        <f>[7]allomanyi_adatok_publi_ezerFt!$E$83+[7]allomanyi_adatok_publi_ezerFt!$F$83+[7]allomanyi_adatok_publi_ezerFt!$E$179+[7]allomanyi_adatok_publi_ezerFt!$F$179+[7]allomanyi_adatok_publi_ezerFt!$L$179</f>
        <v>196121.10767900001</v>
      </c>
      <c r="G5" s="83">
        <f>[2]allomanyi_adatok_publi_millióFt!$E$83+[2]allomanyi_adatok_publi_millióFt!$F$83+[2]allomanyi_adatok_publi_millióFt!$E$179+[2]allomanyi_adatok_publi_millióFt!$F$179+[2]allomanyi_adatok_publi_millióFt!$L$179</f>
        <v>181422.184133</v>
      </c>
      <c r="H5" s="83">
        <f>[8]allomanyi_adatok_publi_millióFt!$E$83+[8]allomanyi_adatok_publi_millióFt!$F$83+[8]allomanyi_adatok_publi_millióFt!$E$179+[8]allomanyi_adatok_publi_millióFt!$F$179+[8]allomanyi_adatok_publi_millióFt!$L$179</f>
        <v>200159.13097299999</v>
      </c>
      <c r="I5" s="83">
        <v>223779.087164</v>
      </c>
      <c r="J5" s="880">
        <f>(SUM(allomanyi!E83+allomanyi!F83+allomanyi!E179+allomanyi!F179+allomanyi!L179))</f>
        <v>215727.68053300001</v>
      </c>
      <c r="L5" s="27">
        <f t="shared" si="0"/>
        <v>-3.5979263000118493</v>
      </c>
      <c r="M5" s="27">
        <f t="shared" si="1"/>
        <v>9.9971762784916223</v>
      </c>
      <c r="N5" s="1">
        <f t="shared" si="2"/>
        <v>-8051.4066309999907</v>
      </c>
      <c r="O5" s="1">
        <f t="shared" si="3"/>
        <v>19606.572853999998</v>
      </c>
    </row>
    <row r="6" spans="1:15" x14ac:dyDescent="0.25">
      <c r="A6" s="20" t="s">
        <v>91</v>
      </c>
      <c r="B6" s="5">
        <f>[3]allomanyi_adatok_ezerFt!$H$83+[3]allomanyi_adatok_ezerFt!$H$179+[3]allomanyi_adatok_ezerFt!$M$179</f>
        <v>51665.518745000001</v>
      </c>
      <c r="C6" s="5">
        <f>[4]allomanyi_adatok_publi_ezerFt!$H$83+[4]allomanyi_adatok_publi_ezerFt!$H$179+[4]allomanyi_adatok_publi_ezerFt!$M$179</f>
        <v>50546.713248</v>
      </c>
      <c r="D6" s="5">
        <f>[5]allomanyi_adatok_publi_ezerFt!$H$83+[5]allomanyi_adatok_publi_ezerFt!$H$179+[5]allomanyi_adatok_publi_ezerFt!$M$179</f>
        <v>50354.096578000004</v>
      </c>
      <c r="E6" s="5">
        <f>[6]allomanyi_adatok_publi_ezerFt!$H$83+[6]allomanyi_adatok_publi_ezerFt!$M$83+[6]allomanyi_adatok_publi_ezerFt!$H$179+[6]allomanyi_adatok_publi_ezerFt!$M$179</f>
        <v>50537.855003000004</v>
      </c>
      <c r="F6" s="5">
        <f>[7]allomanyi_adatok_publi_ezerFt!$H$83+[7]allomanyi_adatok_publi_ezerFt!$M$83+[7]allomanyi_adatok_publi_ezerFt!$H$179+[7]allomanyi_adatok_publi_ezerFt!$M$179</f>
        <v>27489.268893</v>
      </c>
      <c r="G6" s="5">
        <f>[2]allomanyi_adatok_publi_millióFt!$H$83+[2]allomanyi_adatok_publi_millióFt!$M$83+[2]allomanyi_adatok_publi_millióFt!$H$179+[2]allomanyi_adatok_publi_millióFt!$M$179</f>
        <v>22251.734281000001</v>
      </c>
      <c r="H6" s="5">
        <f>[8]allomanyi_adatok_publi_millióFt!$H$83+[8]allomanyi_adatok_publi_millióFt!$M$83+[8]allomanyi_adatok_publi_millióFt!$H$179+[8]allomanyi_adatok_publi_millióFt!$M$179</f>
        <v>24817.740408999998</v>
      </c>
      <c r="I6" s="5">
        <v>23974.099881000002</v>
      </c>
      <c r="J6" s="880">
        <f>(SUM(allomanyi!H83+allomanyi!M83+allomanyi!H179+allomanyi!M179))</f>
        <v>20461.611992999999</v>
      </c>
      <c r="L6" s="27">
        <f t="shared" si="0"/>
        <v>-14.651177334852633</v>
      </c>
      <c r="M6" s="27">
        <f t="shared" si="1"/>
        <v>-25.565092063214379</v>
      </c>
      <c r="N6" s="1">
        <f t="shared" si="2"/>
        <v>-3512.4878880000033</v>
      </c>
      <c r="O6" s="1">
        <f t="shared" si="3"/>
        <v>-7027.6569000000018</v>
      </c>
    </row>
    <row r="7" spans="1:15" ht="15.75" thickBot="1" x14ac:dyDescent="0.3">
      <c r="B7" s="1"/>
      <c r="C7" s="1"/>
      <c r="D7" s="1"/>
      <c r="E7" s="1"/>
      <c r="F7" s="1"/>
      <c r="G7" s="1"/>
      <c r="H7" s="1"/>
      <c r="I7" s="1">
        <f>SUM(I3:I6)</f>
        <v>755992.62307800003</v>
      </c>
    </row>
    <row r="8" spans="1:15" x14ac:dyDescent="0.25">
      <c r="B8" s="94" t="s">
        <v>824</v>
      </c>
      <c r="C8" s="94" t="s">
        <v>182</v>
      </c>
      <c r="D8" s="94" t="s">
        <v>803</v>
      </c>
      <c r="E8" s="94" t="s">
        <v>812</v>
      </c>
      <c r="F8" s="94" t="s">
        <v>830</v>
      </c>
      <c r="G8" s="94" t="s">
        <v>870</v>
      </c>
      <c r="H8" s="94" t="s">
        <v>887</v>
      </c>
      <c r="I8" s="94" t="s">
        <v>892</v>
      </c>
      <c r="J8" s="94" t="s">
        <v>1017</v>
      </c>
      <c r="L8" s="96" t="s">
        <v>890</v>
      </c>
      <c r="M8" s="96" t="s">
        <v>891</v>
      </c>
    </row>
    <row r="9" spans="1:15" x14ac:dyDescent="0.25">
      <c r="A9" s="20" t="s">
        <v>74</v>
      </c>
      <c r="B9" s="883">
        <f t="shared" ref="B9:C9" si="4">B3/1000</f>
        <v>270.35857995099997</v>
      </c>
      <c r="C9" s="883">
        <f t="shared" si="4"/>
        <v>281.61066564499998</v>
      </c>
      <c r="D9" s="883">
        <f t="shared" ref="D9:F9" si="5">D3/1000</f>
        <v>294.34345492</v>
      </c>
      <c r="E9" s="883">
        <f t="shared" si="5"/>
        <v>295.41637866799999</v>
      </c>
      <c r="F9" s="883">
        <f t="shared" si="5"/>
        <v>302.96274810299997</v>
      </c>
      <c r="G9" s="883">
        <f>302202.328863/1000</f>
        <v>302.20232886299999</v>
      </c>
      <c r="H9" s="883">
        <f>296883.431566/1000</f>
        <v>296.88343156600001</v>
      </c>
      <c r="I9" s="883">
        <f>306076.17143/1000</f>
        <v>306.07617142999999</v>
      </c>
      <c r="J9" s="990">
        <f>(SUM(J3/1000))</f>
        <v>301.679722814</v>
      </c>
      <c r="L9" s="167">
        <f>J9-I9</f>
        <v>-4.3964486159999865</v>
      </c>
      <c r="M9" s="167">
        <f>J9-F9</f>
        <v>-1.2830252889999656</v>
      </c>
    </row>
    <row r="10" spans="1:15" x14ac:dyDescent="0.25">
      <c r="A10" s="20" t="s">
        <v>75</v>
      </c>
      <c r="B10" s="562">
        <f t="shared" ref="B10:C10" si="6">B4/1000</f>
        <v>181.33374860199999</v>
      </c>
      <c r="C10" s="562">
        <f t="shared" si="6"/>
        <v>202.23521181699999</v>
      </c>
      <c r="D10" s="562">
        <f t="shared" ref="D10:F10" si="7">D4/1000</f>
        <v>218.97094078699999</v>
      </c>
      <c r="E10" s="562">
        <f t="shared" si="7"/>
        <v>233.54744399</v>
      </c>
      <c r="F10" s="562">
        <f t="shared" si="7"/>
        <v>215.95638387899996</v>
      </c>
      <c r="G10" s="883">
        <f>199928.108933/1000</f>
        <v>199.928108933</v>
      </c>
      <c r="H10" s="562">
        <f>199248.821094/1000</f>
        <v>199.24882109400002</v>
      </c>
      <c r="I10" s="562">
        <f>202163.264603/1000</f>
        <v>202.16326460299999</v>
      </c>
      <c r="J10" s="990">
        <f>(SUM(J4/1000))</f>
        <v>172.73164305400002</v>
      </c>
      <c r="L10" s="167">
        <f t="shared" ref="L10:L12" si="8">J10-I10</f>
        <v>-29.431621548999971</v>
      </c>
      <c r="M10" s="167">
        <f t="shared" ref="M10:M12" si="9">J10-F10</f>
        <v>-43.224740824999941</v>
      </c>
    </row>
    <row r="11" spans="1:15" x14ac:dyDescent="0.25">
      <c r="A11" s="20" t="s">
        <v>76</v>
      </c>
      <c r="B11" s="884">
        <f t="shared" ref="B11:C11" si="10">B5/1000</f>
        <v>241.35022582300002</v>
      </c>
      <c r="C11" s="884">
        <f t="shared" si="10"/>
        <v>197.24306457200001</v>
      </c>
      <c r="D11" s="884">
        <f t="shared" ref="D11:F11" si="11">D5/1000</f>
        <v>194.72909168299998</v>
      </c>
      <c r="E11" s="884">
        <f t="shared" si="11"/>
        <v>170.01266267500003</v>
      </c>
      <c r="F11" s="884">
        <f t="shared" si="11"/>
        <v>196.121107679</v>
      </c>
      <c r="G11" s="883">
        <f>181422.184133/1000</f>
        <v>181.422184133</v>
      </c>
      <c r="H11" s="884">
        <f>200159.130973/1000</f>
        <v>200.159130973</v>
      </c>
      <c r="I11" s="884">
        <f>223779.087164/1000</f>
        <v>223.779087164</v>
      </c>
      <c r="J11" s="990">
        <f>(SUM(J5/1000))</f>
        <v>215.72768053300001</v>
      </c>
      <c r="L11" s="167">
        <f t="shared" si="8"/>
        <v>-8.0514066309999919</v>
      </c>
      <c r="M11" s="167">
        <f t="shared" si="9"/>
        <v>19.606572854000007</v>
      </c>
    </row>
    <row r="12" spans="1:15" x14ac:dyDescent="0.25">
      <c r="A12" s="20" t="s">
        <v>77</v>
      </c>
      <c r="B12" s="562">
        <f t="shared" ref="B12:C12" si="12">B6/1000</f>
        <v>51.665518745</v>
      </c>
      <c r="C12" s="562">
        <f t="shared" si="12"/>
        <v>50.546713248000003</v>
      </c>
      <c r="D12" s="562">
        <f t="shared" ref="D12:F12" si="13">D6/1000</f>
        <v>50.354096578000004</v>
      </c>
      <c r="E12" s="562">
        <f t="shared" si="13"/>
        <v>50.537855003000004</v>
      </c>
      <c r="F12" s="562">
        <f t="shared" si="13"/>
        <v>27.489268893000002</v>
      </c>
      <c r="G12" s="883">
        <f>22251.734281/1000</f>
        <v>22.251734281000001</v>
      </c>
      <c r="H12" s="562">
        <f>24817.740409/1000</f>
        <v>24.817740409000002</v>
      </c>
      <c r="I12" s="562">
        <f>23974.099881/1000</f>
        <v>23.974099880999997</v>
      </c>
      <c r="J12" s="990">
        <f>(SUM(J6/1000))</f>
        <v>20.461611992999998</v>
      </c>
      <c r="L12" s="167">
        <f t="shared" si="8"/>
        <v>-3.512487887999999</v>
      </c>
      <c r="M12" s="167">
        <f t="shared" si="9"/>
        <v>-7.0276569000000038</v>
      </c>
    </row>
    <row r="13" spans="1:15" x14ac:dyDescent="0.25">
      <c r="B13" s="1">
        <f t="shared" ref="B13:C13" si="14">SUM(B9:B12)</f>
        <v>744.70807312099998</v>
      </c>
      <c r="C13" s="1">
        <f t="shared" si="14"/>
        <v>731.63565528200002</v>
      </c>
      <c r="D13" s="1">
        <f>SUM(D9:D12)</f>
        <v>758.39758396800005</v>
      </c>
      <c r="E13" s="1"/>
      <c r="F13" s="1"/>
      <c r="G13" s="1"/>
      <c r="H13" s="1"/>
      <c r="I13" s="1"/>
    </row>
    <row r="14" spans="1:15" x14ac:dyDescent="0.25">
      <c r="K14" s="96" t="s">
        <v>814</v>
      </c>
      <c r="M14" s="96" t="s">
        <v>813</v>
      </c>
    </row>
    <row r="15" spans="1:15" x14ac:dyDescent="0.25">
      <c r="J15" s="20" t="s">
        <v>74</v>
      </c>
      <c r="K15" s="2">
        <v>-1.4363903584717548</v>
      </c>
      <c r="L15" s="20" t="s">
        <v>76</v>
      </c>
      <c r="M15" s="86">
        <v>9.9971762784916223</v>
      </c>
    </row>
    <row r="16" spans="1:15" x14ac:dyDescent="0.25">
      <c r="J16" s="20" t="s">
        <v>76</v>
      </c>
      <c r="K16" s="2">
        <v>-3.5979263000118493</v>
      </c>
      <c r="L16" s="20" t="s">
        <v>74</v>
      </c>
      <c r="M16" s="86">
        <v>-0.42349275514355611</v>
      </c>
    </row>
    <row r="17" spans="10:13" x14ac:dyDescent="0.25">
      <c r="J17" s="20" t="s">
        <v>75</v>
      </c>
      <c r="K17" s="2">
        <v>-14.558343033684494</v>
      </c>
      <c r="L17" s="20" t="s">
        <v>75</v>
      </c>
      <c r="M17" s="86">
        <v>-20.015495744371563</v>
      </c>
    </row>
    <row r="18" spans="10:13" x14ac:dyDescent="0.25">
      <c r="J18" s="20" t="s">
        <v>77</v>
      </c>
      <c r="K18" s="2">
        <v>-14.651177334852633</v>
      </c>
      <c r="L18" s="20" t="s">
        <v>77</v>
      </c>
      <c r="M18" s="86">
        <v>-25.565092063214379</v>
      </c>
    </row>
    <row r="20" spans="10:13" x14ac:dyDescent="0.25">
      <c r="K20" s="96" t="s">
        <v>145</v>
      </c>
      <c r="M20" s="96" t="s">
        <v>146</v>
      </c>
    </row>
    <row r="21" spans="10:13" x14ac:dyDescent="0.25">
      <c r="J21" s="20" t="s">
        <v>77</v>
      </c>
      <c r="K21" s="86">
        <f>-3512.487888/1000</f>
        <v>-3.5124878879999999</v>
      </c>
      <c r="L21" s="20" t="s">
        <v>76</v>
      </c>
      <c r="M21" s="86">
        <f>19606.572854/1000</f>
        <v>19.606572853999999</v>
      </c>
    </row>
    <row r="22" spans="10:13" x14ac:dyDescent="0.25">
      <c r="J22" s="20" t="s">
        <v>74</v>
      </c>
      <c r="K22" s="86">
        <f>-4396.44861600001/1000</f>
        <v>-4.3964486160000096</v>
      </c>
      <c r="L22" s="20" t="s">
        <v>74</v>
      </c>
      <c r="M22" s="86">
        <f>-1283.02528900001/1000</f>
        <v>-1.28302528900001</v>
      </c>
    </row>
    <row r="23" spans="10:13" x14ac:dyDescent="0.25">
      <c r="J23" s="20" t="s">
        <v>76</v>
      </c>
      <c r="K23" s="86">
        <f>-8051.40663099999/1000</f>
        <v>-8.0514066309999901</v>
      </c>
      <c r="L23" s="20" t="s">
        <v>77</v>
      </c>
      <c r="M23" s="86">
        <f>-7027.6569/1000</f>
        <v>-7.0276569000000002</v>
      </c>
    </row>
    <row r="24" spans="10:13" x14ac:dyDescent="0.25">
      <c r="J24" s="20" t="s">
        <v>75</v>
      </c>
      <c r="K24" s="86">
        <f>-29431.621549/1000</f>
        <v>-29.431621548999999</v>
      </c>
      <c r="L24" s="20" t="s">
        <v>75</v>
      </c>
      <c r="M24" s="86">
        <f>-43224.740825/1000</f>
        <v>-43.224740824999998</v>
      </c>
    </row>
  </sheetData>
  <sortState ref="L21:M24">
    <sortCondition descending="1" ref="M21:M24"/>
  </sortState>
  <mergeCells count="1">
    <mergeCell ref="A1:I1"/>
  </mergeCells>
  <pageMargins left="0.7" right="0.7" top="0.75" bottom="0.75" header="0.3" footer="0.3"/>
  <pageSetup paperSize="9" orientation="portrait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66"/>
  <sheetViews>
    <sheetView workbookViewId="0">
      <pane xSplit="1" topLeftCell="B1" activePane="topRight" state="frozen"/>
      <selection pane="topRight" activeCell="R4" sqref="R4:S5"/>
    </sheetView>
  </sheetViews>
  <sheetFormatPr defaultRowHeight="15" x14ac:dyDescent="0.25"/>
  <cols>
    <col min="1" max="1" width="15.85546875" customWidth="1"/>
    <col min="2" max="2" width="9.28515625" bestFit="1" customWidth="1"/>
    <col min="3" max="3" width="12.42578125" bestFit="1" customWidth="1"/>
    <col min="4" max="4" width="13.140625" bestFit="1" customWidth="1"/>
    <col min="5" max="6" width="13.28515625" bestFit="1" customWidth="1"/>
    <col min="7" max="7" width="13.140625" bestFit="1" customWidth="1"/>
    <col min="8" max="8" width="12.28515625" customWidth="1"/>
    <col min="9" max="9" width="12.42578125" bestFit="1" customWidth="1"/>
    <col min="10" max="10" width="13.140625" bestFit="1" customWidth="1"/>
    <col min="11" max="11" width="9.28515625" bestFit="1" customWidth="1"/>
    <col min="12" max="13" width="13.28515625" bestFit="1" customWidth="1"/>
    <col min="15" max="15" width="12.42578125" bestFit="1" customWidth="1"/>
    <col min="16" max="16" width="13.140625" bestFit="1" customWidth="1"/>
    <col min="17" max="23" width="13.28515625" bestFit="1" customWidth="1"/>
  </cols>
  <sheetData>
    <row r="1" spans="1:19" x14ac:dyDescent="0.25">
      <c r="A1" s="1073" t="s">
        <v>896</v>
      </c>
      <c r="B1" s="1073"/>
      <c r="C1" s="1073"/>
      <c r="D1" s="1073"/>
      <c r="E1" s="1073"/>
      <c r="F1" s="1073"/>
      <c r="G1" s="1073"/>
      <c r="H1" s="1073"/>
      <c r="I1" s="1073"/>
      <c r="J1" s="1073"/>
      <c r="K1" s="1073"/>
      <c r="L1" s="1073"/>
      <c r="M1" s="1073"/>
      <c r="N1" s="1073"/>
      <c r="O1" s="1073"/>
      <c r="P1" s="1073"/>
      <c r="Q1" s="1073"/>
    </row>
    <row r="2" spans="1:19" x14ac:dyDescent="0.25">
      <c r="B2" t="s">
        <v>169</v>
      </c>
      <c r="D2" t="s">
        <v>184</v>
      </c>
      <c r="F2" t="s">
        <v>804</v>
      </c>
      <c r="H2" t="s">
        <v>812</v>
      </c>
      <c r="J2" t="s">
        <v>826</v>
      </c>
      <c r="L2" t="s">
        <v>870</v>
      </c>
      <c r="N2" t="s">
        <v>887</v>
      </c>
      <c r="P2" t="s">
        <v>892</v>
      </c>
      <c r="R2" t="s">
        <v>1017</v>
      </c>
    </row>
    <row r="3" spans="1:19" x14ac:dyDescent="0.25">
      <c r="B3" s="84" t="s">
        <v>79</v>
      </c>
      <c r="C3" s="85" t="s">
        <v>80</v>
      </c>
      <c r="D3" s="84" t="s">
        <v>79</v>
      </c>
      <c r="E3" s="85" t="s">
        <v>80</v>
      </c>
      <c r="F3" s="84" t="s">
        <v>79</v>
      </c>
      <c r="G3" s="85" t="s">
        <v>80</v>
      </c>
      <c r="H3" s="84" t="s">
        <v>79</v>
      </c>
      <c r="I3" s="85" t="s">
        <v>80</v>
      </c>
      <c r="J3" s="84" t="s">
        <v>79</v>
      </c>
      <c r="K3" s="85" t="s">
        <v>80</v>
      </c>
      <c r="L3" s="84" t="s">
        <v>79</v>
      </c>
      <c r="M3" s="85" t="s">
        <v>80</v>
      </c>
      <c r="N3" s="84" t="s">
        <v>79</v>
      </c>
      <c r="O3" s="85" t="s">
        <v>80</v>
      </c>
      <c r="P3" s="84" t="s">
        <v>79</v>
      </c>
      <c r="Q3" s="85" t="s">
        <v>80</v>
      </c>
      <c r="R3" s="84" t="s">
        <v>79</v>
      </c>
      <c r="S3" s="85" t="s">
        <v>80</v>
      </c>
    </row>
    <row r="4" spans="1:19" x14ac:dyDescent="0.25">
      <c r="A4" t="s">
        <v>82</v>
      </c>
      <c r="B4" s="27">
        <v>90.531217058667352</v>
      </c>
      <c r="C4" s="27">
        <v>62.289050090186173</v>
      </c>
      <c r="D4" s="27">
        <v>89.817138801405122</v>
      </c>
      <c r="E4" s="27">
        <v>61.736979585132666</v>
      </c>
      <c r="F4" s="27">
        <v>87.893967854736871</v>
      </c>
      <c r="G4" s="27">
        <v>58.253138560847653</v>
      </c>
      <c r="H4" s="27">
        <v>86.398075234548287</v>
      </c>
      <c r="I4" s="27">
        <v>58.253138560847653</v>
      </c>
      <c r="J4" s="32">
        <v>85.295132683821507</v>
      </c>
      <c r="K4" s="32">
        <v>56.44271217707719</v>
      </c>
      <c r="L4" s="32">
        <v>85.156348736776252</v>
      </c>
      <c r="M4" s="32">
        <v>53.882758620798796</v>
      </c>
      <c r="N4" s="32">
        <v>84.728666381853486</v>
      </c>
      <c r="O4" s="32">
        <v>51.927066994325678</v>
      </c>
      <c r="P4" s="32">
        <v>82.767674794333971</v>
      </c>
      <c r="Q4" s="32">
        <v>51.485628327069165</v>
      </c>
      <c r="R4" s="27">
        <v>85.156348736776252</v>
      </c>
      <c r="S4" s="27">
        <v>53.882758620798796</v>
      </c>
    </row>
    <row r="5" spans="1:19" x14ac:dyDescent="0.25">
      <c r="A5" t="s">
        <v>81</v>
      </c>
      <c r="B5" s="27">
        <v>9.4687829413326519</v>
      </c>
      <c r="C5" s="27">
        <v>37.71094990981382</v>
      </c>
      <c r="D5" s="27">
        <v>10.182861198594871</v>
      </c>
      <c r="E5" s="27">
        <v>38.26302041486732</v>
      </c>
      <c r="F5" s="27">
        <v>12.106032145263148</v>
      </c>
      <c r="G5" s="27">
        <v>41.74686143915234</v>
      </c>
      <c r="H5" s="27">
        <v>13.601924765451724</v>
      </c>
      <c r="I5" s="27">
        <v>41.74686143915234</v>
      </c>
      <c r="J5" s="32">
        <v>14.704867316178499</v>
      </c>
      <c r="K5" s="32">
        <v>43.55728782292281</v>
      </c>
      <c r="L5" s="32">
        <v>14.843651263223739</v>
      </c>
      <c r="M5" s="32">
        <v>46.117241379201197</v>
      </c>
      <c r="N5" s="32">
        <v>15.271333618146517</v>
      </c>
      <c r="O5" s="32">
        <v>48.072933005674315</v>
      </c>
      <c r="P5" s="32">
        <v>17.232325205666037</v>
      </c>
      <c r="Q5" s="32">
        <v>48.514371672930835</v>
      </c>
      <c r="R5" s="27">
        <v>14.843651263223739</v>
      </c>
      <c r="S5" s="27">
        <v>46.117241379201197</v>
      </c>
    </row>
    <row r="6" spans="1:19" x14ac:dyDescent="0.25">
      <c r="G6" s="27">
        <f t="shared" ref="G6:S6" si="0">G4+G5</f>
        <v>100</v>
      </c>
      <c r="H6" s="27">
        <f t="shared" si="0"/>
        <v>100.00000000000001</v>
      </c>
      <c r="I6" s="27">
        <f t="shared" si="0"/>
        <v>100</v>
      </c>
      <c r="J6" s="32">
        <f t="shared" si="0"/>
        <v>100</v>
      </c>
      <c r="K6" s="32">
        <f t="shared" si="0"/>
        <v>100</v>
      </c>
      <c r="L6" s="32">
        <f t="shared" si="0"/>
        <v>99.999999999999986</v>
      </c>
      <c r="M6" s="32">
        <f t="shared" si="0"/>
        <v>100</v>
      </c>
      <c r="N6" s="32">
        <f t="shared" si="0"/>
        <v>100</v>
      </c>
      <c r="O6" s="32">
        <f t="shared" si="0"/>
        <v>100</v>
      </c>
      <c r="P6" s="32">
        <f t="shared" si="0"/>
        <v>100</v>
      </c>
      <c r="Q6" s="32">
        <f t="shared" si="0"/>
        <v>100</v>
      </c>
      <c r="R6" s="32">
        <f t="shared" si="0"/>
        <v>99.999999999999986</v>
      </c>
      <c r="S6" s="32">
        <f t="shared" si="0"/>
        <v>100</v>
      </c>
    </row>
    <row r="7" spans="1:19" x14ac:dyDescent="0.25">
      <c r="G7" s="27"/>
      <c r="H7" s="27"/>
      <c r="I7" s="27"/>
      <c r="J7" s="32"/>
      <c r="K7" s="32"/>
      <c r="L7" s="32"/>
      <c r="M7" s="32"/>
      <c r="Q7" s="32">
        <f>Q5-I5</f>
        <v>6.7675102337784949</v>
      </c>
    </row>
    <row r="8" spans="1:19" x14ac:dyDescent="0.25">
      <c r="J8" s="32"/>
      <c r="K8" s="32"/>
      <c r="O8" s="32"/>
      <c r="Q8" s="32">
        <f>Q5-O5</f>
        <v>0.44143866725652003</v>
      </c>
    </row>
    <row r="9" spans="1:19" x14ac:dyDescent="0.25">
      <c r="L9" s="32"/>
      <c r="N9" s="32"/>
      <c r="O9" s="32"/>
      <c r="P9" s="86">
        <f>P5-B5</f>
        <v>7.7635422643333847</v>
      </c>
    </row>
    <row r="10" spans="1:19" x14ac:dyDescent="0.25">
      <c r="L10" s="32"/>
    </row>
    <row r="13" spans="1:19" x14ac:dyDescent="0.25">
      <c r="L13" s="27"/>
      <c r="M13" s="27"/>
    </row>
    <row r="14" spans="1:19" x14ac:dyDescent="0.25">
      <c r="L14" s="27"/>
      <c r="M14" s="27"/>
    </row>
    <row r="23" spans="10:12" x14ac:dyDescent="0.25">
      <c r="K23" s="1073"/>
      <c r="L23" s="1073"/>
    </row>
    <row r="24" spans="10:12" x14ac:dyDescent="0.25">
      <c r="K24" s="147"/>
      <c r="L24" s="147"/>
    </row>
    <row r="25" spans="10:12" x14ac:dyDescent="0.25">
      <c r="J25" s="1"/>
      <c r="K25" s="32"/>
      <c r="L25" s="32"/>
    </row>
    <row r="26" spans="10:12" x14ac:dyDescent="0.25">
      <c r="J26" s="1"/>
      <c r="K26" s="868"/>
      <c r="L26" s="32"/>
    </row>
    <row r="33" spans="1:35" x14ac:dyDescent="0.25">
      <c r="B33" t="s">
        <v>1017</v>
      </c>
      <c r="E33" s="872" t="s">
        <v>892</v>
      </c>
      <c r="F33" s="872"/>
      <c r="H33" s="872" t="s">
        <v>887</v>
      </c>
      <c r="I33" s="872"/>
      <c r="K33" s="872" t="s">
        <v>870</v>
      </c>
      <c r="L33" s="872"/>
      <c r="N33" s="872" t="s">
        <v>836</v>
      </c>
      <c r="O33" s="872"/>
      <c r="Q33" s="872" t="s">
        <v>837</v>
      </c>
      <c r="R33" s="872"/>
      <c r="T33" s="872" t="s">
        <v>804</v>
      </c>
      <c r="U33" s="872"/>
      <c r="W33" s="872" t="s">
        <v>184</v>
      </c>
      <c r="X33" s="872"/>
      <c r="Z33" s="872" t="s">
        <v>169</v>
      </c>
      <c r="AA33" s="872"/>
      <c r="AC33" s="901"/>
      <c r="AD33" s="901"/>
    </row>
    <row r="34" spans="1:35" x14ac:dyDescent="0.25">
      <c r="A34" t="s">
        <v>92</v>
      </c>
      <c r="B34" s="1">
        <f>(SUM(allomanyi!I48+allomanyi!I144))</f>
        <v>831114.22804700001</v>
      </c>
      <c r="E34" s="1">
        <v>867552.45306500001</v>
      </c>
      <c r="F34" s="27"/>
      <c r="H34" s="1">
        <f>[8]allomanyi_adatok_publi_millióFt!$I$48+[8]allomanyi_adatok_publi_millióFt!$I$144</f>
        <v>898791.41049499996</v>
      </c>
      <c r="I34" s="27"/>
      <c r="K34" s="1">
        <f>[2]allomanyi_adatok_publi_millióFt!$I$48+[2]allomanyi_adatok_publi_millióFt!$I$144</f>
        <v>913106.20737800002</v>
      </c>
      <c r="L34" s="27"/>
      <c r="N34" s="1">
        <v>908211.88284999994</v>
      </c>
      <c r="O34" s="27"/>
      <c r="Q34" s="1">
        <v>913401.19850699999</v>
      </c>
      <c r="R34" s="27"/>
      <c r="T34" s="1">
        <v>936726.98044199997</v>
      </c>
      <c r="U34" s="27"/>
      <c r="W34" s="1">
        <v>937625.45768899994</v>
      </c>
      <c r="X34" s="27"/>
      <c r="Z34" s="1">
        <v>890650.855002</v>
      </c>
      <c r="AA34" s="27"/>
      <c r="AC34" s="1"/>
      <c r="AD34" s="27"/>
    </row>
    <row r="35" spans="1:35" x14ac:dyDescent="0.25">
      <c r="A35" t="s">
        <v>93</v>
      </c>
      <c r="B35" s="1">
        <f>(SUM(allomanyi!N48+allomanyi!N144))</f>
        <v>170078.86943399999</v>
      </c>
      <c r="E35" s="1">
        <v>180625.41978299999</v>
      </c>
      <c r="F35" s="27"/>
      <c r="H35" s="1">
        <f>[8]allomanyi_adatok_publi_millióFt!$N$48+[8]allomanyi_adatok_publi_millióFt!$N$144</f>
        <v>161996.45372600001</v>
      </c>
      <c r="I35" s="27"/>
      <c r="K35" s="1">
        <f>[2]allomanyi_adatok_publi_millióFt!$N$48+[2]allomanyi_adatok_publi_millióFt!$N$144</f>
        <v>159164.05893</v>
      </c>
      <c r="L35" s="27"/>
      <c r="N35" s="1">
        <v>156575.58423400001</v>
      </c>
      <c r="O35" s="27"/>
      <c r="Q35" s="1">
        <v>143799.66624300001</v>
      </c>
      <c r="R35" s="27"/>
      <c r="T35" s="1">
        <v>129019.62686799999</v>
      </c>
      <c r="U35" s="27"/>
      <c r="W35" s="1">
        <v>106301.648208</v>
      </c>
      <c r="X35" s="27"/>
      <c r="Z35" s="1">
        <v>93154.382505000001</v>
      </c>
      <c r="AA35" s="27"/>
      <c r="AC35" s="1"/>
      <c r="AD35" s="27"/>
      <c r="AE35" s="901"/>
    </row>
    <row r="36" spans="1:35" x14ac:dyDescent="0.25">
      <c r="A36" t="s">
        <v>97</v>
      </c>
      <c r="B36" s="318">
        <f>SUM(B34:B35)</f>
        <v>1001193.097481</v>
      </c>
      <c r="E36" s="30">
        <f>SUM(E34:E35)</f>
        <v>1048177.872848</v>
      </c>
      <c r="H36" s="30">
        <f>SUM(H34:H35)</f>
        <v>1060787.8642209999</v>
      </c>
      <c r="K36" s="30">
        <f>SUM(K34:K35)</f>
        <v>1072270.2663080001</v>
      </c>
      <c r="N36" s="30">
        <f>SUM(N34:N35)</f>
        <v>1064787.4670839999</v>
      </c>
      <c r="Q36" s="30">
        <f>SUM(Q34:Q35)</f>
        <v>1057200.8647499999</v>
      </c>
      <c r="T36" s="30">
        <f>SUM(T34:T35)</f>
        <v>1065746.6073099999</v>
      </c>
      <c r="W36" s="30">
        <f>SUM(W34:W35)</f>
        <v>1043927.1058969999</v>
      </c>
      <c r="Z36" s="30">
        <f>SUM(Z34:Z35)</f>
        <v>983805.23750699998</v>
      </c>
      <c r="AC36" s="30">
        <f>SUM(AC34:AC35)</f>
        <v>0</v>
      </c>
    </row>
    <row r="37" spans="1:35" x14ac:dyDescent="0.25">
      <c r="A37" t="s">
        <v>94</v>
      </c>
      <c r="B37" s="1">
        <f>(SUM(allomanyi!I83+allomanyi!I179))</f>
        <v>363537.696329</v>
      </c>
      <c r="E37" s="1">
        <v>389227.55209800001</v>
      </c>
      <c r="F37" s="27"/>
      <c r="H37" s="1">
        <f>[8]allomanyi_adatok_publi_millióFt!$I$83+[8]allomanyi_adatok_publi_millióFt!$I$179</f>
        <v>374450.84292299999</v>
      </c>
      <c r="I37" s="27"/>
      <c r="K37" s="1">
        <f>[2]allomanyi_adatok_publi_millióFt!$I$83+[2]allomanyi_adatok_publi_millióFt!$I$179</f>
        <v>380306.87952200003</v>
      </c>
      <c r="L37" s="27"/>
      <c r="N37" s="1">
        <v>419103.793343</v>
      </c>
      <c r="O37" s="27"/>
      <c r="Q37" s="1">
        <v>442136.15159100003</v>
      </c>
      <c r="R37" s="27"/>
      <c r="T37" s="1">
        <v>441790.39543099998</v>
      </c>
      <c r="U37" s="27"/>
      <c r="W37" s="1">
        <v>451689.75513900002</v>
      </c>
      <c r="X37" s="27"/>
      <c r="Z37" s="1">
        <v>463871.58469199995</v>
      </c>
      <c r="AA37" s="27"/>
      <c r="AC37" s="1"/>
      <c r="AD37" s="27"/>
    </row>
    <row r="38" spans="1:35" x14ac:dyDescent="0.25">
      <c r="A38" t="s">
        <v>95</v>
      </c>
      <c r="B38">
        <f>(SUM(allomanyi!N179))</f>
        <v>347062.96206500003</v>
      </c>
      <c r="E38" s="1">
        <v>366765.07098000002</v>
      </c>
      <c r="F38" s="27"/>
      <c r="H38" s="1">
        <f>[8]allomanyi_adatok_publi_millióFt!$N$83+[8]allomanyi_adatok_publi_millióFt!$N$179</f>
        <v>346658.32922399999</v>
      </c>
      <c r="I38" s="27"/>
      <c r="K38" s="1">
        <f>[2]allomanyi_adatok_publi_millióFt!$N$83+[2]allomanyi_adatok_publi_millióFt!$N$179</f>
        <v>325497.51738799998</v>
      </c>
      <c r="L38" s="27"/>
      <c r="N38" s="1">
        <v>323425.715211</v>
      </c>
      <c r="O38" s="27"/>
      <c r="Q38" s="1">
        <v>307378.18874499999</v>
      </c>
      <c r="R38" s="27"/>
      <c r="T38" s="1">
        <v>316607.18853699998</v>
      </c>
      <c r="U38" s="27"/>
      <c r="W38" s="1">
        <v>279945.90014300001</v>
      </c>
      <c r="X38" s="27"/>
      <c r="Z38" s="1">
        <v>280836.48842900002</v>
      </c>
      <c r="AA38" s="27"/>
      <c r="AC38" s="1"/>
      <c r="AD38" s="27"/>
    </row>
    <row r="39" spans="1:35" x14ac:dyDescent="0.25">
      <c r="A39" t="s">
        <v>98</v>
      </c>
      <c r="B39" s="318">
        <f>SUM(B37:B38)</f>
        <v>710600.65839400003</v>
      </c>
      <c r="E39" s="30">
        <f>SUM(E37:E38)</f>
        <v>755992.62307800003</v>
      </c>
      <c r="H39" s="30">
        <f>SUM(H37:H38)</f>
        <v>721109.17214699998</v>
      </c>
      <c r="K39" s="30">
        <f>SUM(K37:K38)</f>
        <v>705804.39691000001</v>
      </c>
      <c r="N39" s="30">
        <f>SUM(N37:N38)</f>
        <v>742529.50855399994</v>
      </c>
      <c r="Q39" s="30">
        <f>SUM(Q37:Q38)</f>
        <v>749514.34033600008</v>
      </c>
      <c r="T39" s="30">
        <f>SUM(T37:T38)</f>
        <v>758397.58396800002</v>
      </c>
      <c r="W39" s="30">
        <f>SUM(W37:W38)</f>
        <v>731635.65528200008</v>
      </c>
      <c r="Z39" s="30">
        <f>SUM(Z37:Z38)</f>
        <v>744708.07312099996</v>
      </c>
      <c r="AC39" s="30">
        <f>SUM(AC37:AC38)</f>
        <v>0</v>
      </c>
    </row>
    <row r="41" spans="1:35" x14ac:dyDescent="0.25">
      <c r="B41" s="881">
        <f>B36+B39</f>
        <v>1711793.755875</v>
      </c>
      <c r="E41" s="881">
        <f>E36+E39</f>
        <v>1804170.4959260002</v>
      </c>
      <c r="H41" s="881">
        <f>H36+H39</f>
        <v>1781897.0363679999</v>
      </c>
      <c r="K41" s="881">
        <f>K36+K39</f>
        <v>1778074.663218</v>
      </c>
      <c r="N41" s="881">
        <f>N36+N39</f>
        <v>1807316.9756379998</v>
      </c>
      <c r="Q41" s="881">
        <f>Q36+Q39</f>
        <v>1806715.205086</v>
      </c>
      <c r="T41" s="881">
        <f>T36+T39</f>
        <v>1824144.1912779999</v>
      </c>
      <c r="W41" s="881">
        <f>W36+W39</f>
        <v>1775562.7611790001</v>
      </c>
      <c r="Z41" s="881">
        <f>Z36+Z39</f>
        <v>1728513.3106279999</v>
      </c>
    </row>
    <row r="43" spans="1:35" x14ac:dyDescent="0.25">
      <c r="B43" t="s">
        <v>1017</v>
      </c>
      <c r="E43" s="872" t="s">
        <v>892</v>
      </c>
      <c r="F43" s="872"/>
      <c r="H43" s="872" t="s">
        <v>887</v>
      </c>
      <c r="I43" s="872"/>
      <c r="K43" s="872" t="s">
        <v>870</v>
      </c>
      <c r="L43" s="872"/>
      <c r="N43" s="872" t="s">
        <v>836</v>
      </c>
      <c r="O43" s="872"/>
      <c r="P43" s="872"/>
      <c r="Q43" s="872" t="s">
        <v>837</v>
      </c>
      <c r="R43" s="872"/>
      <c r="T43" s="872" t="s">
        <v>804</v>
      </c>
      <c r="U43" s="872"/>
      <c r="W43" s="872" t="s">
        <v>184</v>
      </c>
      <c r="X43" s="872"/>
      <c r="Z43" s="872" t="s">
        <v>169</v>
      </c>
      <c r="AA43" s="872"/>
      <c r="AB43" s="872"/>
      <c r="AD43" s="872"/>
      <c r="AE43" s="872"/>
      <c r="AG43" s="872"/>
      <c r="AH43" s="872"/>
    </row>
    <row r="44" spans="1:35" x14ac:dyDescent="0.25">
      <c r="A44" t="s">
        <v>92</v>
      </c>
      <c r="B44" s="1">
        <v>831114.22804700001</v>
      </c>
      <c r="E44" s="1">
        <v>867552.45306500001</v>
      </c>
      <c r="F44" s="1"/>
      <c r="H44" s="1">
        <v>898791.41049499996</v>
      </c>
      <c r="I44" s="1"/>
      <c r="K44" s="1">
        <v>913106.20737800002</v>
      </c>
      <c r="L44" s="1"/>
      <c r="M44" s="1"/>
      <c r="N44" s="1">
        <f>[7]allomanyi_adatok_publi_ezerFt!$I$48+[7]allomanyi_adatok_publi_ezerFt!$I$144</f>
        <v>908211.88284999994</v>
      </c>
      <c r="O44" s="1"/>
      <c r="P44" s="1"/>
      <c r="Q44" s="1">
        <f>[6]allomanyi_adatok_publi_ezerFt!$I$48+[6]allomanyi_adatok_publi_ezerFt!$I$144</f>
        <v>913401.19850699999</v>
      </c>
      <c r="R44" s="1"/>
      <c r="S44" s="1"/>
      <c r="T44" s="1">
        <f>[5]allomanyi_adatok_publi_ezerFt!$I$48+[5]allomanyi_adatok_publi_ezerFt!$I$144</f>
        <v>936726.98044199997</v>
      </c>
      <c r="U44" s="1"/>
      <c r="V44" s="1"/>
      <c r="W44" s="1">
        <f>[4]allomanyi_adatok_publi_ezerFt!$I$48+[4]allomanyi_adatok_publi_ezerFt!$I$144</f>
        <v>937625.45768899994</v>
      </c>
      <c r="X44" s="1"/>
      <c r="Y44" s="1"/>
      <c r="Z44" s="1">
        <f>[3]allomanyi_adatok_ezerFt!$I$48+[3]allomanyi_adatok_ezerFt!$I$144</f>
        <v>890650.855002</v>
      </c>
      <c r="AA44" s="1"/>
      <c r="AB44" s="27"/>
      <c r="AD44" s="1"/>
      <c r="AE44" s="27"/>
      <c r="AG44" s="1"/>
      <c r="AH44" s="27"/>
    </row>
    <row r="45" spans="1:35" x14ac:dyDescent="0.25">
      <c r="A45" t="s">
        <v>93</v>
      </c>
      <c r="B45" s="1">
        <v>170078.86943399999</v>
      </c>
      <c r="D45" s="86">
        <f>SUM(E45-Z45)/1000</f>
        <v>87.471037277999983</v>
      </c>
      <c r="E45" s="1">
        <v>180625.41978299999</v>
      </c>
      <c r="F45" s="86">
        <f>E45/Z45*100-100</f>
        <v>93.899003917829674</v>
      </c>
      <c r="H45" s="1">
        <v>161996.45372600001</v>
      </c>
      <c r="I45" s="1"/>
      <c r="K45" s="1">
        <v>159164.05893</v>
      </c>
      <c r="L45" s="1"/>
      <c r="M45" s="1"/>
      <c r="N45" s="1">
        <f>[7]allomanyi_adatok_publi_ezerFt!$N$48+[7]allomanyi_adatok_publi_ezerFt!$N$144</f>
        <v>156575.58423400001</v>
      </c>
      <c r="O45" s="1"/>
      <c r="P45" s="1"/>
      <c r="Q45" s="1">
        <f>[6]allomanyi_adatok_publi_ezerFt!$N$48+[6]allomanyi_adatok_publi_ezerFt!$N$144</f>
        <v>143799.66624300001</v>
      </c>
      <c r="R45" s="1"/>
      <c r="S45" s="1"/>
      <c r="T45" s="1">
        <f>[5]allomanyi_adatok_publi_ezerFt!$N$48+[5]allomanyi_adatok_publi_ezerFt!$N$144</f>
        <v>129019.62686799999</v>
      </c>
      <c r="U45" s="1"/>
      <c r="V45" s="1"/>
      <c r="W45" s="1">
        <f>[4]allomanyi_adatok_publi_ezerFt!$N$48+[4]allomanyi_adatok_publi_ezerFt!$N$144</f>
        <v>106301.648208</v>
      </c>
      <c r="X45" s="1"/>
      <c r="Y45" s="1"/>
      <c r="Z45" s="1">
        <f>[3]allomanyi_adatok_ezerFt!$N$48+[3]allomanyi_adatok_ezerFt!$N$144</f>
        <v>93154.382505000001</v>
      </c>
      <c r="AA45" s="1"/>
      <c r="AB45" s="27"/>
      <c r="AD45" s="1"/>
      <c r="AE45" s="27"/>
      <c r="AG45" s="1"/>
      <c r="AH45" s="27"/>
    </row>
    <row r="46" spans="1:35" x14ac:dyDescent="0.25">
      <c r="A46" t="s">
        <v>97</v>
      </c>
      <c r="B46" s="318">
        <v>1001193.097481</v>
      </c>
      <c r="E46" s="30">
        <v>1048177.872848</v>
      </c>
      <c r="H46" s="30">
        <v>1060787.8642209999</v>
      </c>
      <c r="K46" s="30">
        <f>K44+K45</f>
        <v>1072270.2663080001</v>
      </c>
      <c r="N46" s="30">
        <f>SUM(N44:N45)</f>
        <v>1064787.4670839999</v>
      </c>
      <c r="Q46" s="30">
        <f>SUM(Q44:Q45)</f>
        <v>1057200.8647499999</v>
      </c>
      <c r="T46" s="30">
        <f>SUM(T44:T45)</f>
        <v>1065746.6073099999</v>
      </c>
      <c r="W46" s="30">
        <f>SUM(W44:W45)</f>
        <v>1043927.1058969999</v>
      </c>
      <c r="Z46" s="30">
        <f>SUM(Z44:Z45)</f>
        <v>983805.23750699998</v>
      </c>
      <c r="AC46" s="30">
        <f>SUM(AA44:AA45)</f>
        <v>0</v>
      </c>
      <c r="AF46" s="30">
        <f>SUM(AD44:AD45)</f>
        <v>0</v>
      </c>
      <c r="AI46" s="30">
        <f>SUM(AG44:AG45)</f>
        <v>0</v>
      </c>
    </row>
    <row r="47" spans="1:35" x14ac:dyDescent="0.25">
      <c r="A47" t="s">
        <v>94</v>
      </c>
      <c r="B47" s="1">
        <v>363537.696329</v>
      </c>
      <c r="E47" s="1">
        <v>389227.55209800001</v>
      </c>
      <c r="F47" s="27"/>
      <c r="H47" s="1">
        <v>374450.84292299999</v>
      </c>
      <c r="I47" s="27"/>
      <c r="K47" s="1">
        <v>380306.87952200003</v>
      </c>
      <c r="L47" s="27"/>
      <c r="N47" s="1">
        <f>[7]allomanyi_adatok_publi_ezerFt!$I$83+[7]allomanyi_adatok_publi_ezerFt!$I$179</f>
        <v>419103.793343</v>
      </c>
      <c r="O47" s="27"/>
      <c r="Q47" s="1">
        <f>[6]allomanyi_adatok_publi_ezerFt!$I$83+[6]allomanyi_adatok_publi_ezerFt!$I$179</f>
        <v>442136.15159100003</v>
      </c>
      <c r="R47" s="27"/>
      <c r="T47" s="1">
        <f>[5]allomanyi_adatok_publi_ezerFt!$I$83+[5]allomanyi_adatok_publi_ezerFt!$I$179</f>
        <v>441790.39543099998</v>
      </c>
      <c r="U47" s="27"/>
      <c r="W47" s="1">
        <f>[4]allomanyi_adatok_publi_ezerFt!$I$83+[4]allomanyi_adatok_publi_ezerFt!$I$179</f>
        <v>451689.75513900002</v>
      </c>
      <c r="X47" s="27"/>
      <c r="Z47" s="1">
        <f>[3]allomanyi_adatok_ezerFt!$I$83+[3]allomanyi_adatok_ezerFt!$I$179</f>
        <v>463871.58469199995</v>
      </c>
      <c r="AA47" s="27"/>
      <c r="AC47" s="1"/>
      <c r="AD47" s="27"/>
      <c r="AF47" s="1"/>
      <c r="AG47" s="27"/>
      <c r="AI47" s="1"/>
    </row>
    <row r="48" spans="1:35" x14ac:dyDescent="0.25">
      <c r="A48" t="s">
        <v>95</v>
      </c>
      <c r="B48" s="1">
        <v>347062.96206500003</v>
      </c>
      <c r="D48" s="86">
        <f>SUM(B48-E48)/1000</f>
        <v>-19.70210891499999</v>
      </c>
      <c r="E48" s="1">
        <v>366765.07098000002</v>
      </c>
      <c r="F48" s="27">
        <f>B48/E48*100-100</f>
        <v>-5.3718607560844731</v>
      </c>
      <c r="H48" s="1">
        <v>346658.32922399999</v>
      </c>
      <c r="I48" s="27"/>
      <c r="K48" s="1">
        <v>325497.51738799998</v>
      </c>
      <c r="L48" s="27"/>
      <c r="N48" s="1">
        <f>[7]allomanyi_adatok_publi_ezerFt!$N$83+[7]allomanyi_adatok_publi_ezerFt!$N$179</f>
        <v>323425.715211</v>
      </c>
      <c r="O48" s="27"/>
      <c r="Q48" s="1">
        <f>[6]allomanyi_adatok_publi_ezerFt!$N$83+[6]allomanyi_adatok_publi_ezerFt!$N$179</f>
        <v>307378.18874499999</v>
      </c>
      <c r="R48" s="27"/>
      <c r="T48" s="1">
        <f>[5]allomanyi_adatok_publi_ezerFt!$N$179</f>
        <v>316607.18853699998</v>
      </c>
      <c r="U48" s="27"/>
      <c r="W48" s="1">
        <f>[4]allomanyi_adatok_publi_ezerFt!$N$179</f>
        <v>279945.90014300001</v>
      </c>
      <c r="X48" s="27"/>
      <c r="Z48" s="1">
        <f>[3]allomanyi_adatok_ezerFt!$N$179</f>
        <v>280836.48842900002</v>
      </c>
      <c r="AA48" s="27"/>
      <c r="AC48" s="1"/>
      <c r="AD48" s="27"/>
      <c r="AF48" s="1"/>
      <c r="AG48" s="27"/>
      <c r="AI48" s="1"/>
    </row>
    <row r="49" spans="1:36" x14ac:dyDescent="0.25">
      <c r="A49" t="s">
        <v>98</v>
      </c>
      <c r="B49" s="318">
        <v>710600.65839400003</v>
      </c>
      <c r="E49" s="30">
        <v>755992.62307800003</v>
      </c>
      <c r="H49" s="30">
        <v>721109.17214699998</v>
      </c>
      <c r="K49" s="30">
        <f>K47+K48</f>
        <v>705804.39691000001</v>
      </c>
      <c r="N49" s="30">
        <f>SUM(N47:N48)</f>
        <v>742529.50855399994</v>
      </c>
      <c r="Q49" s="30">
        <f>SUM(Q47:Q48)</f>
        <v>749514.34033600008</v>
      </c>
      <c r="T49" s="30">
        <f>SUM(T47:T48)</f>
        <v>758397.58396800002</v>
      </c>
      <c r="W49" s="30">
        <f>SUM(W47:W48)</f>
        <v>731635.65528200008</v>
      </c>
      <c r="Z49" s="30">
        <f>SUM(Z47:Z48)</f>
        <v>744708.07312099996</v>
      </c>
      <c r="AC49" s="30">
        <f>SUM(AC47:AC48)</f>
        <v>0</v>
      </c>
      <c r="AF49" s="30">
        <f>SUM(AF47:AF48)</f>
        <v>0</v>
      </c>
      <c r="AI49" s="30">
        <f>SUM(AI47:AI48)</f>
        <v>0</v>
      </c>
    </row>
    <row r="50" spans="1:36" x14ac:dyDescent="0.25">
      <c r="A50" t="s">
        <v>96</v>
      </c>
      <c r="B50" s="1">
        <f>B44+B47</f>
        <v>1194651.924376</v>
      </c>
      <c r="E50" s="1">
        <f>E44+E47</f>
        <v>1256780.005163</v>
      </c>
      <c r="H50" s="1">
        <f>H44+H47</f>
        <v>1273242.2534179999</v>
      </c>
      <c r="K50" s="1">
        <f>K44+K47</f>
        <v>1293413.0869</v>
      </c>
      <c r="N50" s="1">
        <f>N44+N47</f>
        <v>1327315.6761929998</v>
      </c>
      <c r="Q50" s="1">
        <f>Q44+Q47</f>
        <v>1355537.3500979999</v>
      </c>
      <c r="T50" s="1">
        <f>T44+T47</f>
        <v>1378517.3758729999</v>
      </c>
      <c r="W50" s="1">
        <f>W44+W47</f>
        <v>1389315.2128280001</v>
      </c>
      <c r="Z50" s="1">
        <f>Z44+Z47</f>
        <v>1354522.4396939999</v>
      </c>
      <c r="AC50" s="1">
        <f>AA44+AC47</f>
        <v>0</v>
      </c>
      <c r="AF50" s="1">
        <f>AD44+AF47</f>
        <v>0</v>
      </c>
      <c r="AI50" s="1">
        <f>AG44+AI47</f>
        <v>0</v>
      </c>
    </row>
    <row r="51" spans="1:36" x14ac:dyDescent="0.25">
      <c r="A51" t="s">
        <v>1019</v>
      </c>
      <c r="B51" s="1">
        <f>B45+B48</f>
        <v>517141.83149900002</v>
      </c>
      <c r="C51" s="873" t="s">
        <v>838</v>
      </c>
      <c r="D51" s="874" t="s">
        <v>839</v>
      </c>
      <c r="E51" s="1">
        <f>E45+E48</f>
        <v>547390.49076299998</v>
      </c>
      <c r="F51" s="873" t="s">
        <v>838</v>
      </c>
      <c r="G51" s="874" t="s">
        <v>839</v>
      </c>
      <c r="H51" s="1">
        <f>H45+H48</f>
        <v>508654.78295000002</v>
      </c>
      <c r="I51" s="873" t="s">
        <v>838</v>
      </c>
      <c r="J51" s="874" t="s">
        <v>839</v>
      </c>
      <c r="K51" s="1">
        <f>K45+K48</f>
        <v>484661.57631799998</v>
      </c>
      <c r="L51" s="873" t="s">
        <v>838</v>
      </c>
      <c r="M51" s="874" t="s">
        <v>839</v>
      </c>
      <c r="N51" s="1">
        <f>N45+N48</f>
        <v>480001.29944500001</v>
      </c>
      <c r="O51" s="873" t="s">
        <v>838</v>
      </c>
      <c r="P51" s="874" t="s">
        <v>839</v>
      </c>
      <c r="Q51" s="1">
        <f>Q45+Q48</f>
        <v>451177.85498800001</v>
      </c>
      <c r="R51" s="873" t="s">
        <v>838</v>
      </c>
      <c r="S51" s="874" t="s">
        <v>839</v>
      </c>
      <c r="T51" s="1">
        <f>T45+T48</f>
        <v>445626.815405</v>
      </c>
      <c r="U51" s="873" t="s">
        <v>838</v>
      </c>
      <c r="V51" s="874" t="s">
        <v>839</v>
      </c>
      <c r="W51" s="1">
        <f>W45+W48</f>
        <v>386247.548351</v>
      </c>
      <c r="X51" s="873" t="s">
        <v>838</v>
      </c>
      <c r="Y51" s="874" t="s">
        <v>839</v>
      </c>
      <c r="Z51" s="1">
        <f>Z45+Z48</f>
        <v>373990.87093400001</v>
      </c>
      <c r="AA51" s="873" t="s">
        <v>838</v>
      </c>
      <c r="AB51" s="874" t="s">
        <v>839</v>
      </c>
      <c r="AC51" s="1">
        <f>AA45+AC48</f>
        <v>0</v>
      </c>
      <c r="AF51" s="1">
        <f>AD45+AF48</f>
        <v>0</v>
      </c>
      <c r="AI51" s="1">
        <f>AG45+AI48</f>
        <v>0</v>
      </c>
    </row>
    <row r="52" spans="1:36" x14ac:dyDescent="0.25">
      <c r="A52" t="s">
        <v>102</v>
      </c>
      <c r="B52" s="1">
        <v>831114.22804700001</v>
      </c>
      <c r="C52" s="2">
        <f>B44/B46*100</f>
        <v>83.012380942106162</v>
      </c>
      <c r="D52" s="2">
        <f>B47/B49*100</f>
        <v>51.159211863188659</v>
      </c>
      <c r="E52" s="1">
        <v>867552.45306500001</v>
      </c>
      <c r="F52" s="27">
        <f>E44/E46*100</f>
        <v>82.767674794333971</v>
      </c>
      <c r="G52" s="27">
        <f>E47/E49*100</f>
        <v>51.485628327069165</v>
      </c>
      <c r="H52" s="1">
        <f>H44</f>
        <v>898791.41049499996</v>
      </c>
      <c r="I52" s="27">
        <f>H44/H46*100</f>
        <v>84.728666381853486</v>
      </c>
      <c r="J52" s="27">
        <f>H47/H49*100</f>
        <v>51.927066994325678</v>
      </c>
      <c r="K52" s="1">
        <f>K44</f>
        <v>913106.20737800002</v>
      </c>
      <c r="L52" s="27">
        <f>K44/K46*100</f>
        <v>85.156348736776252</v>
      </c>
      <c r="M52" s="27">
        <f>K47/K49*100</f>
        <v>53.882758620798796</v>
      </c>
      <c r="N52" s="1">
        <f>N44</f>
        <v>908211.88284999994</v>
      </c>
      <c r="O52" s="27">
        <f>N44/N46*100</f>
        <v>85.295132683821507</v>
      </c>
      <c r="P52" s="27">
        <f>N47/N49*100</f>
        <v>56.44271217707719</v>
      </c>
      <c r="Q52" s="1">
        <f>Q44</f>
        <v>913401.19850699999</v>
      </c>
      <c r="R52" s="27">
        <f>Q44/Q46*100</f>
        <v>86.398075234548287</v>
      </c>
      <c r="S52" s="27">
        <f>Q37/Q39*100</f>
        <v>58.989685426538287</v>
      </c>
      <c r="T52" s="1">
        <f>T44</f>
        <v>936726.98044199997</v>
      </c>
      <c r="U52" s="27">
        <f>T44/T46*100</f>
        <v>87.893967854736871</v>
      </c>
      <c r="V52" s="27">
        <f>T47/T49*100</f>
        <v>58.253138560847653</v>
      </c>
      <c r="W52" s="1">
        <f>W44</f>
        <v>937625.45768899994</v>
      </c>
      <c r="X52" s="27">
        <f>W44/W46*100</f>
        <v>89.817138801405122</v>
      </c>
      <c r="Y52" s="27">
        <f>W47/W49*100</f>
        <v>61.736979585132666</v>
      </c>
      <c r="Z52" s="1">
        <v>890650.855002</v>
      </c>
      <c r="AA52" s="27">
        <f>Z44/Z46*100</f>
        <v>90.531217058667352</v>
      </c>
      <c r="AB52" s="27">
        <f>Z47/Z49*100</f>
        <v>62.289050090186173</v>
      </c>
      <c r="AC52" s="1">
        <f>AA44</f>
        <v>0</v>
      </c>
      <c r="AD52" s="27" t="e">
        <f>AC52/AC50*100</f>
        <v>#DIV/0!</v>
      </c>
      <c r="AE52" s="27" t="e">
        <f>100-AD52</f>
        <v>#DIV/0!</v>
      </c>
      <c r="AF52" s="1">
        <f>AD44</f>
        <v>0</v>
      </c>
      <c r="AG52" s="27" t="e">
        <f>AF52/AF50*100</f>
        <v>#DIV/0!</v>
      </c>
      <c r="AH52" s="27" t="e">
        <f>100-AG52</f>
        <v>#DIV/0!</v>
      </c>
      <c r="AI52" s="1">
        <f>AG44</f>
        <v>0</v>
      </c>
      <c r="AJ52" s="27"/>
    </row>
    <row r="53" spans="1:36" x14ac:dyDescent="0.25">
      <c r="A53" t="s">
        <v>103</v>
      </c>
      <c r="B53" s="1">
        <v>170078.86943399999</v>
      </c>
      <c r="C53" s="2">
        <f>B45/B46*100</f>
        <v>16.987619057893838</v>
      </c>
      <c r="D53" s="2">
        <f>B48/B49*100</f>
        <v>48.840788136811334</v>
      </c>
      <c r="E53" s="1">
        <v>180625.41978299999</v>
      </c>
      <c r="F53" s="27">
        <f>E45/E46*100</f>
        <v>17.232325205666037</v>
      </c>
      <c r="G53" s="27">
        <f>E48/E49*100</f>
        <v>48.514371672930835</v>
      </c>
      <c r="H53" s="1">
        <f>H45</f>
        <v>161996.45372600001</v>
      </c>
      <c r="I53" s="27">
        <f>H45/H46*100</f>
        <v>15.271333618146517</v>
      </c>
      <c r="J53" s="27">
        <f>H48/H49*100</f>
        <v>48.072933005674315</v>
      </c>
      <c r="K53" s="1">
        <f>K45</f>
        <v>159164.05893</v>
      </c>
      <c r="L53" s="27">
        <f>K45/K46*100</f>
        <v>14.843651263223739</v>
      </c>
      <c r="M53" s="27">
        <f>K48/K49*100</f>
        <v>46.117241379201197</v>
      </c>
      <c r="N53" s="1">
        <f>N45</f>
        <v>156575.58423400001</v>
      </c>
      <c r="O53" s="27">
        <f>N45/N46*100</f>
        <v>14.704867316178499</v>
      </c>
      <c r="P53" s="27">
        <f>N48/N49*100</f>
        <v>43.55728782292281</v>
      </c>
      <c r="Q53" s="1">
        <f>Q45</f>
        <v>143799.66624300001</v>
      </c>
      <c r="R53" s="27">
        <f>Q35/Q36*100</f>
        <v>13.601924765451724</v>
      </c>
      <c r="S53" s="27">
        <f>Q38/Q39*100</f>
        <v>41.010314573461706</v>
      </c>
      <c r="T53" s="1">
        <f>T45</f>
        <v>129019.62686799999</v>
      </c>
      <c r="U53" s="27">
        <f>T45/T46*100</f>
        <v>12.106032145263148</v>
      </c>
      <c r="V53" s="27">
        <f>T48/T49*100</f>
        <v>41.74686143915234</v>
      </c>
      <c r="W53" s="1">
        <f>W45</f>
        <v>106301.648208</v>
      </c>
      <c r="X53" s="27">
        <f>W45/W46*100</f>
        <v>10.182861198594871</v>
      </c>
      <c r="Y53" s="27">
        <f>W48/W49*100</f>
        <v>38.26302041486732</v>
      </c>
      <c r="Z53" s="1">
        <v>93154.382505000001</v>
      </c>
      <c r="AA53" s="27">
        <f>Z45/Z46*100</f>
        <v>9.4687829413326519</v>
      </c>
      <c r="AB53" s="27">
        <f>Z48/Z49*100</f>
        <v>37.71094990981382</v>
      </c>
      <c r="AC53" s="1">
        <f>AA45</f>
        <v>0</v>
      </c>
      <c r="AD53" s="27" t="e">
        <f>AC53/AC51*100</f>
        <v>#DIV/0!</v>
      </c>
      <c r="AE53" s="27" t="e">
        <f>100-AD53</f>
        <v>#DIV/0!</v>
      </c>
      <c r="AF53" s="1">
        <f>AD45</f>
        <v>0</v>
      </c>
      <c r="AG53" s="27" t="e">
        <f>AF53/AF51*100</f>
        <v>#DIV/0!</v>
      </c>
      <c r="AH53" s="27" t="e">
        <f>100-AG53</f>
        <v>#DIV/0!</v>
      </c>
      <c r="AI53" s="1">
        <f>AG45</f>
        <v>0</v>
      </c>
      <c r="AJ53" s="27"/>
    </row>
    <row r="54" spans="1:36" x14ac:dyDescent="0.25">
      <c r="A54" t="s">
        <v>815</v>
      </c>
      <c r="B54" s="993">
        <f>B50/B56*100</f>
        <v>69.789477866470079</v>
      </c>
      <c r="E54" s="862">
        <f>E50/E56*100</f>
        <v>69.659713868558242</v>
      </c>
      <c r="F54" s="862"/>
      <c r="H54" s="862">
        <f>H50/H56*100</f>
        <v>71.45431118810437</v>
      </c>
      <c r="I54" s="862"/>
      <c r="K54" s="862">
        <f>K50/K56*100</f>
        <v>72.742338308738482</v>
      </c>
      <c r="L54" s="862"/>
      <c r="N54" s="862">
        <f>N50/N56*100</f>
        <v>73.441222214185473</v>
      </c>
      <c r="O54" s="862"/>
      <c r="Q54" s="862">
        <f>Q50/Q56*100</f>
        <v>75.027726909149251</v>
      </c>
      <c r="R54" s="862"/>
      <c r="T54" s="862">
        <f>T50/T56*100</f>
        <v>75.570636491581695</v>
      </c>
      <c r="U54" s="862"/>
      <c r="V54" s="862"/>
      <c r="W54" s="862">
        <f>W50/W56*100</f>
        <v>78.246471665438293</v>
      </c>
      <c r="X54" s="862"/>
      <c r="Y54" s="862"/>
      <c r="Z54" s="862">
        <f>Z50/Z56*100</f>
        <v>78.363437027966981</v>
      </c>
      <c r="AA54" s="862"/>
      <c r="AB54" s="862"/>
      <c r="AC54" s="862" t="e">
        <f>AC50/AC56*100</f>
        <v>#DIV/0!</v>
      </c>
      <c r="AD54" s="862"/>
      <c r="AE54" s="862"/>
      <c r="AF54" s="862" t="e">
        <f>AF50/AF56*100</f>
        <v>#DIV/0!</v>
      </c>
      <c r="AG54" s="862"/>
      <c r="AH54" s="862"/>
      <c r="AI54" s="862" t="e">
        <f>AI50/AI56*100</f>
        <v>#DIV/0!</v>
      </c>
      <c r="AJ54" s="862"/>
    </row>
    <row r="55" spans="1:36" x14ac:dyDescent="0.25">
      <c r="A55" t="s">
        <v>816</v>
      </c>
      <c r="B55" s="994">
        <f>B51/B56*100</f>
        <v>30.210522133529921</v>
      </c>
      <c r="E55" s="863">
        <f>E51/E56*100</f>
        <v>30.340286131441747</v>
      </c>
      <c r="F55" s="863"/>
      <c r="H55" s="863">
        <f>H51/H56*100</f>
        <v>28.545688811895637</v>
      </c>
      <c r="I55" s="863"/>
      <c r="K55" s="863">
        <f>K51/K56*100</f>
        <v>27.257661691261514</v>
      </c>
      <c r="L55" s="863"/>
      <c r="N55" s="863">
        <f>N51/N56*100</f>
        <v>26.558777785814524</v>
      </c>
      <c r="O55" s="863"/>
      <c r="Q55" s="863">
        <f>Q51/Q56*100</f>
        <v>24.972273090850745</v>
      </c>
      <c r="R55" s="863"/>
      <c r="T55" s="863">
        <f>T51/T56*100</f>
        <v>24.429363508418309</v>
      </c>
      <c r="U55" s="863"/>
      <c r="V55" s="863"/>
      <c r="W55" s="863">
        <f>W51/W56*100</f>
        <v>21.753528334561707</v>
      </c>
      <c r="X55" s="863"/>
      <c r="Y55" s="863"/>
      <c r="Z55" s="863">
        <f>Z51/Z56*100</f>
        <v>21.636562972033026</v>
      </c>
      <c r="AA55" s="863"/>
      <c r="AB55" s="863"/>
      <c r="AC55" s="863" t="e">
        <f>AC51/AC56*100</f>
        <v>#DIV/0!</v>
      </c>
      <c r="AD55" s="863"/>
      <c r="AE55" s="863"/>
      <c r="AF55" s="863" t="e">
        <f>AF51/AF56*100</f>
        <v>#DIV/0!</v>
      </c>
      <c r="AG55" s="863"/>
      <c r="AH55" s="863"/>
      <c r="AI55" s="863" t="e">
        <f>AI51/AI56*100</f>
        <v>#DIV/0!</v>
      </c>
      <c r="AJ55" s="863"/>
    </row>
    <row r="56" spans="1:36" x14ac:dyDescent="0.25">
      <c r="B56" s="318">
        <v>1711793.755875</v>
      </c>
      <c r="E56" s="318">
        <v>1804170.4959260002</v>
      </c>
      <c r="G56" s="27"/>
      <c r="H56" s="318">
        <f>H46+H49</f>
        <v>1781897.0363679999</v>
      </c>
      <c r="K56" s="318">
        <f>K46+K49</f>
        <v>1778074.663218</v>
      </c>
      <c r="N56" s="318">
        <f>N46+N49</f>
        <v>1807316.9756379998</v>
      </c>
      <c r="Q56" s="318">
        <f>Q46+Q49</f>
        <v>1806715.205086</v>
      </c>
      <c r="R56" s="1"/>
      <c r="T56" s="318">
        <f>T46+T49</f>
        <v>1824144.1912779999</v>
      </c>
      <c r="W56" s="318">
        <f>W46+W49</f>
        <v>1775562.7611790001</v>
      </c>
      <c r="Z56" s="318">
        <f>Z46+Z49</f>
        <v>1728513.3106279999</v>
      </c>
      <c r="AC56" s="318">
        <f>AC46+AC49</f>
        <v>0</v>
      </c>
      <c r="AF56" s="318">
        <f>AF46+AF49</f>
        <v>0</v>
      </c>
      <c r="AI56" s="318">
        <f>AI46+AI49</f>
        <v>0</v>
      </c>
    </row>
    <row r="57" spans="1:36" x14ac:dyDescent="0.25">
      <c r="F57" s="27"/>
      <c r="J57" s="27"/>
    </row>
    <row r="58" spans="1:36" x14ac:dyDescent="0.25">
      <c r="A58" t="s">
        <v>817</v>
      </c>
      <c r="B58" s="27"/>
      <c r="D58" s="86">
        <f>SUM(B53-E53)/1000</f>
        <v>-10.546550348999997</v>
      </c>
      <c r="E58" s="2">
        <f>B53/E53*100-100</f>
        <v>-5.8389070384835264</v>
      </c>
      <c r="F58" s="2">
        <f>C53-F53</f>
        <v>-0.24470614777219879</v>
      </c>
      <c r="J58" s="27"/>
    </row>
    <row r="59" spans="1:36" x14ac:dyDescent="0.25">
      <c r="A59" t="s">
        <v>818</v>
      </c>
      <c r="B59" s="27"/>
    </row>
    <row r="61" spans="1:36" ht="45" x14ac:dyDescent="0.25">
      <c r="B61" s="864" t="s">
        <v>819</v>
      </c>
    </row>
    <row r="62" spans="1:36" x14ac:dyDescent="0.25">
      <c r="A62" t="s">
        <v>821</v>
      </c>
      <c r="B62" s="27"/>
      <c r="D62" s="27"/>
    </row>
    <row r="63" spans="1:36" x14ac:dyDescent="0.25">
      <c r="A63" t="s">
        <v>820</v>
      </c>
      <c r="B63" s="27"/>
    </row>
    <row r="65" spans="1:2" x14ac:dyDescent="0.25">
      <c r="A65" t="s">
        <v>822</v>
      </c>
      <c r="B65" s="27"/>
    </row>
    <row r="66" spans="1:2" x14ac:dyDescent="0.25">
      <c r="A66" t="s">
        <v>823</v>
      </c>
      <c r="B66" s="27"/>
    </row>
  </sheetData>
  <mergeCells count="2">
    <mergeCell ref="K23:L23"/>
    <mergeCell ref="A1:Q1"/>
  </mergeCells>
  <pageMargins left="0.7" right="0.7" top="0.75" bottom="0.75" header="0.3" footer="0.3"/>
  <pageSetup paperSize="9" orientation="portrait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2:P7"/>
  <sheetViews>
    <sheetView workbookViewId="0">
      <selection activeCell="L3" sqref="L3:L6"/>
    </sheetView>
  </sheetViews>
  <sheetFormatPr defaultRowHeight="15" x14ac:dyDescent="0.25"/>
  <sheetData>
    <row r="2" spans="3:16" x14ac:dyDescent="0.25">
      <c r="C2" s="1075" t="s">
        <v>903</v>
      </c>
      <c r="D2" s="1075"/>
      <c r="E2" s="1075"/>
      <c r="F2" s="1075"/>
      <c r="G2" s="1075"/>
      <c r="H2" s="1075"/>
      <c r="I2" s="1075"/>
      <c r="J2" s="1075"/>
      <c r="K2" s="1075"/>
      <c r="L2" s="1075"/>
      <c r="P2" s="995"/>
    </row>
    <row r="3" spans="3:16" x14ac:dyDescent="0.25">
      <c r="D3" t="s">
        <v>169</v>
      </c>
      <c r="E3" t="s">
        <v>184</v>
      </c>
      <c r="F3" t="s">
        <v>804</v>
      </c>
      <c r="G3" t="s">
        <v>812</v>
      </c>
      <c r="H3" t="s">
        <v>826</v>
      </c>
      <c r="I3" t="s">
        <v>870</v>
      </c>
      <c r="J3" t="s">
        <v>887</v>
      </c>
      <c r="K3" t="s">
        <v>892</v>
      </c>
      <c r="L3" t="s">
        <v>1017</v>
      </c>
      <c r="P3" s="996"/>
    </row>
    <row r="4" spans="3:16" x14ac:dyDescent="0.25">
      <c r="D4" s="84" t="s">
        <v>79</v>
      </c>
      <c r="E4" s="84" t="s">
        <v>79</v>
      </c>
      <c r="F4" s="84" t="s">
        <v>79</v>
      </c>
      <c r="G4" s="84" t="s">
        <v>79</v>
      </c>
      <c r="H4" s="84" t="s">
        <v>79</v>
      </c>
      <c r="I4" s="84" t="s">
        <v>79</v>
      </c>
      <c r="J4" s="84" t="s">
        <v>79</v>
      </c>
      <c r="K4" s="84" t="s">
        <v>79</v>
      </c>
      <c r="L4" s="84" t="s">
        <v>79</v>
      </c>
      <c r="P4" s="996"/>
    </row>
    <row r="5" spans="3:16" x14ac:dyDescent="0.25">
      <c r="C5" t="s">
        <v>82</v>
      </c>
      <c r="D5" s="27">
        <v>90.531217058667352</v>
      </c>
      <c r="E5" s="27">
        <v>89.817138801405122</v>
      </c>
      <c r="F5" s="27">
        <v>87.893967854736871</v>
      </c>
      <c r="G5" s="27">
        <v>86.398075234548287</v>
      </c>
      <c r="H5" s="32">
        <v>85.295132683821507</v>
      </c>
      <c r="I5" s="32">
        <v>85.156348736776252</v>
      </c>
      <c r="J5" s="32">
        <v>84.728666381853486</v>
      </c>
      <c r="K5" s="32">
        <v>82.767674794333971</v>
      </c>
      <c r="L5" s="27">
        <v>85.156348736776252</v>
      </c>
    </row>
    <row r="6" spans="3:16" x14ac:dyDescent="0.25">
      <c r="C6" t="s">
        <v>81</v>
      </c>
      <c r="D6" s="27">
        <v>9.4687829413326519</v>
      </c>
      <c r="E6" s="27">
        <v>10.182861198594871</v>
      </c>
      <c r="F6" s="27">
        <v>12.106032145263148</v>
      </c>
      <c r="G6" s="27">
        <v>13.601924765451724</v>
      </c>
      <c r="H6" s="32">
        <v>14.704867316178499</v>
      </c>
      <c r="I6" s="32">
        <v>14.843651263223739</v>
      </c>
      <c r="J6" s="32">
        <v>15.271333618146517</v>
      </c>
      <c r="K6" s="32">
        <v>17.232325205666037</v>
      </c>
      <c r="L6" s="27">
        <v>14.843651263223739</v>
      </c>
    </row>
    <row r="7" spans="3:16" x14ac:dyDescent="0.25">
      <c r="L7" s="27">
        <f>L6-K6</f>
        <v>-2.3886739424422974</v>
      </c>
    </row>
  </sheetData>
  <mergeCells count="1">
    <mergeCell ref="C2:L2"/>
  </mergeCells>
  <pageMargins left="0.7" right="0.7" top="0.75" bottom="0.75" header="0.3" footer="0.3"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5:L11"/>
  <sheetViews>
    <sheetView workbookViewId="0">
      <selection activeCell="L6" sqref="L6:L9"/>
    </sheetView>
  </sheetViews>
  <sheetFormatPr defaultRowHeight="15" x14ac:dyDescent="0.25"/>
  <sheetData>
    <row r="5" spans="3:12" x14ac:dyDescent="0.25">
      <c r="C5" s="1076" t="s">
        <v>904</v>
      </c>
      <c r="D5" s="1076"/>
      <c r="E5" s="1076"/>
      <c r="F5" s="1076"/>
      <c r="G5" s="1076"/>
      <c r="H5" s="1076"/>
      <c r="I5" s="1076"/>
      <c r="J5" s="1076"/>
      <c r="K5" s="1076"/>
      <c r="L5" s="1076"/>
    </row>
    <row r="6" spans="3:12" x14ac:dyDescent="0.25">
      <c r="D6" t="s">
        <v>169</v>
      </c>
      <c r="E6" t="s">
        <v>184</v>
      </c>
      <c r="F6" t="s">
        <v>804</v>
      </c>
      <c r="G6" t="s">
        <v>812</v>
      </c>
      <c r="H6" t="s">
        <v>826</v>
      </c>
      <c r="I6" t="s">
        <v>870</v>
      </c>
      <c r="J6" t="s">
        <v>887</v>
      </c>
      <c r="K6" t="s">
        <v>892</v>
      </c>
      <c r="L6" t="s">
        <v>1015</v>
      </c>
    </row>
    <row r="7" spans="3:12" x14ac:dyDescent="0.25">
      <c r="D7" s="85" t="s">
        <v>80</v>
      </c>
      <c r="E7" s="85" t="s">
        <v>80</v>
      </c>
      <c r="F7" s="85" t="s">
        <v>80</v>
      </c>
      <c r="G7" s="85" t="s">
        <v>80</v>
      </c>
      <c r="H7" s="85" t="s">
        <v>80</v>
      </c>
      <c r="I7" s="85" t="s">
        <v>80</v>
      </c>
      <c r="J7" s="85" t="s">
        <v>80</v>
      </c>
      <c r="K7" s="85" t="s">
        <v>80</v>
      </c>
      <c r="L7" s="85" t="s">
        <v>80</v>
      </c>
    </row>
    <row r="8" spans="3:12" x14ac:dyDescent="0.25">
      <c r="C8" t="s">
        <v>82</v>
      </c>
      <c r="D8" s="27">
        <v>62.289050090186173</v>
      </c>
      <c r="E8" s="27">
        <v>61.736979585132666</v>
      </c>
      <c r="F8" s="27">
        <v>58.253138560847653</v>
      </c>
      <c r="G8" s="27">
        <v>58.253138560847653</v>
      </c>
      <c r="H8" s="32">
        <v>56.44271217707719</v>
      </c>
      <c r="I8" s="32">
        <v>53.882758620798796</v>
      </c>
      <c r="J8" s="32">
        <v>51.927066994325678</v>
      </c>
      <c r="K8" s="32">
        <v>51.485628327069165</v>
      </c>
      <c r="L8" s="2">
        <v>53.882758620798796</v>
      </c>
    </row>
    <row r="9" spans="3:12" x14ac:dyDescent="0.25">
      <c r="C9" t="s">
        <v>81</v>
      </c>
      <c r="D9" s="27">
        <v>37.71094990981382</v>
      </c>
      <c r="E9" s="27">
        <v>38.26302041486732</v>
      </c>
      <c r="F9" s="27">
        <v>41.74686143915234</v>
      </c>
      <c r="G9" s="27">
        <v>41.74686143915234</v>
      </c>
      <c r="H9" s="32">
        <v>43.55728782292281</v>
      </c>
      <c r="I9" s="32">
        <v>46.117241379201197</v>
      </c>
      <c r="J9" s="32">
        <v>48.072933005674315</v>
      </c>
      <c r="K9" s="32">
        <v>48.514371672930835</v>
      </c>
      <c r="L9" s="2">
        <v>46.117241379201197</v>
      </c>
    </row>
    <row r="11" spans="3:12" x14ac:dyDescent="0.25">
      <c r="L11" s="27">
        <f>L9-K9</f>
        <v>-2.3971302937296386</v>
      </c>
    </row>
  </sheetData>
  <mergeCells count="1">
    <mergeCell ref="C5:L5"/>
  </mergeCells>
  <pageMargins left="0.7" right="0.7" top="0.75" bottom="0.75" header="0.3" footer="0.3"/>
  <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D3:J7"/>
  <sheetViews>
    <sheetView topLeftCell="B1" workbookViewId="0">
      <selection activeCell="J5" sqref="J5"/>
    </sheetView>
  </sheetViews>
  <sheetFormatPr defaultRowHeight="15" x14ac:dyDescent="0.25"/>
  <cols>
    <col min="4" max="4" width="22.7109375" bestFit="1" customWidth="1"/>
    <col min="5" max="5" width="21.85546875" customWidth="1"/>
    <col min="6" max="6" width="18.28515625" customWidth="1"/>
    <col min="7" max="7" width="26.85546875" customWidth="1"/>
    <col min="8" max="8" width="18.7109375" customWidth="1"/>
    <col min="9" max="9" width="31.140625" customWidth="1"/>
    <col min="10" max="10" width="17" customWidth="1"/>
  </cols>
  <sheetData>
    <row r="3" spans="4:10" x14ac:dyDescent="0.25">
      <c r="D3" s="988"/>
      <c r="E3" s="1221" t="s">
        <v>1020</v>
      </c>
      <c r="F3" s="1222"/>
      <c r="G3" s="1222"/>
      <c r="H3" s="1222"/>
      <c r="I3" s="1222"/>
      <c r="J3" s="1223"/>
    </row>
    <row r="4" spans="4:10" x14ac:dyDescent="0.25">
      <c r="D4" s="988"/>
      <c r="E4" s="988"/>
      <c r="F4" s="988"/>
      <c r="G4" s="988"/>
      <c r="H4" s="988"/>
      <c r="I4" s="988"/>
      <c r="J4" s="988"/>
    </row>
    <row r="5" spans="4:10" ht="30" x14ac:dyDescent="0.25">
      <c r="D5" s="988"/>
      <c r="E5" s="896" t="s">
        <v>640</v>
      </c>
      <c r="F5" s="896" t="s">
        <v>882</v>
      </c>
      <c r="G5" s="896" t="s">
        <v>883</v>
      </c>
      <c r="H5" s="896" t="s">
        <v>643</v>
      </c>
      <c r="I5" s="896" t="s">
        <v>441</v>
      </c>
      <c r="J5" s="1004" t="s">
        <v>884</v>
      </c>
    </row>
    <row r="6" spans="4:10" x14ac:dyDescent="0.25">
      <c r="D6" s="1017" t="s">
        <v>880</v>
      </c>
      <c r="E6" s="1018">
        <v>4.8634932808200002</v>
      </c>
      <c r="F6" s="1018">
        <v>1.0476562459799998</v>
      </c>
      <c r="G6" s="1018">
        <v>1.6268495764000002</v>
      </c>
      <c r="H6" s="1018">
        <v>0.30450556200999901</v>
      </c>
      <c r="I6" s="1018">
        <v>0.46863761526000003</v>
      </c>
      <c r="J6" s="1021">
        <v>8.3111422804699995</v>
      </c>
    </row>
    <row r="7" spans="4:10" x14ac:dyDescent="0.25">
      <c r="D7" s="1017" t="s">
        <v>881</v>
      </c>
      <c r="E7" s="1018">
        <v>1.4884217306400001</v>
      </c>
      <c r="F7" s="1018">
        <v>0.83921514042000001</v>
      </c>
      <c r="G7" s="1018">
        <v>0.88071573726999997</v>
      </c>
      <c r="H7" s="1018">
        <v>0.37384769576999999</v>
      </c>
      <c r="I7" s="1018">
        <v>5.3176659190000003E-2</v>
      </c>
      <c r="J7" s="1021">
        <v>3.6353769632900002</v>
      </c>
    </row>
  </sheetData>
  <mergeCells count="1">
    <mergeCell ref="E3:J3"/>
  </mergeCells>
  <pageMargins left="0.7" right="0.7" top="0.75" bottom="0.75" header="0.3" footer="0.3"/>
  <pageSetup paperSize="9" orientation="portrait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F6:L9"/>
  <sheetViews>
    <sheetView zoomScaleNormal="100" workbookViewId="0">
      <selection activeCell="S18" sqref="S18"/>
    </sheetView>
  </sheetViews>
  <sheetFormatPr defaultRowHeight="15" x14ac:dyDescent="0.25"/>
  <cols>
    <col min="6" max="6" width="14" bestFit="1" customWidth="1"/>
    <col min="7" max="7" width="18.7109375" customWidth="1"/>
    <col min="8" max="8" width="19" customWidth="1"/>
    <col min="9" max="9" width="14.28515625" customWidth="1"/>
    <col min="10" max="10" width="12.28515625" customWidth="1"/>
    <col min="11" max="11" width="16.42578125" customWidth="1"/>
  </cols>
  <sheetData>
    <row r="6" spans="6:12" x14ac:dyDescent="0.25">
      <c r="F6" s="988"/>
      <c r="G6" s="1077" t="s">
        <v>1058</v>
      </c>
      <c r="H6" s="1077"/>
      <c r="I6" s="1077"/>
      <c r="J6" s="1077"/>
      <c r="K6" s="1077"/>
      <c r="L6" s="904"/>
    </row>
    <row r="7" spans="6:12" ht="30" x14ac:dyDescent="0.25">
      <c r="F7" s="988"/>
      <c r="G7" s="896" t="s">
        <v>640</v>
      </c>
      <c r="H7" s="896" t="s">
        <v>882</v>
      </c>
      <c r="I7" s="896" t="s">
        <v>885</v>
      </c>
      <c r="J7" s="896" t="s">
        <v>441</v>
      </c>
      <c r="K7" s="1016" t="s">
        <v>886</v>
      </c>
    </row>
    <row r="8" spans="6:12" x14ac:dyDescent="0.25">
      <c r="F8" s="1017" t="s">
        <v>880</v>
      </c>
      <c r="G8" s="1018">
        <v>1.0429483849500001</v>
      </c>
      <c r="H8" s="1018">
        <v>0.28536220643999999</v>
      </c>
      <c r="I8" s="1018">
        <v>0.31909793787000001</v>
      </c>
      <c r="J8" s="1018">
        <v>5.338016508E-2</v>
      </c>
      <c r="K8" s="1019">
        <v>1.7007886943399999</v>
      </c>
    </row>
    <row r="9" spans="6:12" x14ac:dyDescent="0.25">
      <c r="F9" s="1017" t="s">
        <v>881</v>
      </c>
      <c r="G9" s="1020">
        <v>1.5283754975000001</v>
      </c>
      <c r="H9" s="1020">
        <v>0.88810129012000005</v>
      </c>
      <c r="I9" s="1020">
        <v>0.90271337228999993</v>
      </c>
      <c r="J9" s="1020">
        <v>0.15143946074</v>
      </c>
      <c r="K9" s="1019">
        <v>3.4706296206500005</v>
      </c>
    </row>
  </sheetData>
  <mergeCells count="1">
    <mergeCell ref="G6:K6"/>
  </mergeCells>
  <pageMargins left="0.7" right="0.7" top="0.75" bottom="0.75" header="0.3" footer="0.3"/>
  <drawing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63"/>
  <sheetViews>
    <sheetView topLeftCell="A25" workbookViewId="0">
      <pane xSplit="1" topLeftCell="E1" activePane="topRight" state="frozen"/>
      <selection pane="topRight" activeCell="J6" sqref="J6:J9"/>
    </sheetView>
  </sheetViews>
  <sheetFormatPr defaultRowHeight="15" x14ac:dyDescent="0.25"/>
  <cols>
    <col min="1" max="1" width="71.140625" customWidth="1"/>
    <col min="4" max="4" width="11" bestFit="1" customWidth="1"/>
    <col min="5" max="5" width="11.140625" customWidth="1"/>
    <col min="13" max="13" width="61.7109375" bestFit="1" customWidth="1"/>
    <col min="14" max="14" width="13.28515625" bestFit="1" customWidth="1"/>
    <col min="16" max="16" width="13.85546875" bestFit="1" customWidth="1"/>
  </cols>
  <sheetData>
    <row r="1" spans="1:14" x14ac:dyDescent="0.25">
      <c r="A1" s="1073" t="s">
        <v>897</v>
      </c>
      <c r="B1" s="1073"/>
      <c r="C1" s="1073"/>
      <c r="D1" s="1073"/>
      <c r="E1" s="1073"/>
      <c r="F1" s="1073"/>
      <c r="G1" s="1073"/>
      <c r="H1" s="1073"/>
      <c r="I1" s="1073"/>
      <c r="N1" s="94" t="s">
        <v>1017</v>
      </c>
    </row>
    <row r="2" spans="1:14" ht="15.75" thickBot="1" x14ac:dyDescent="0.3">
      <c r="M2" s="88" t="s">
        <v>809</v>
      </c>
      <c r="N2" s="2">
        <v>21.490998931000004</v>
      </c>
    </row>
    <row r="3" spans="1:14" ht="15.75" thickBot="1" x14ac:dyDescent="0.3">
      <c r="A3" s="87" t="s">
        <v>83</v>
      </c>
      <c r="M3" s="88" t="s">
        <v>807</v>
      </c>
      <c r="N3" s="2">
        <v>16.321481222999999</v>
      </c>
    </row>
    <row r="4" spans="1:14" ht="15.75" thickBot="1" x14ac:dyDescent="0.3">
      <c r="A4" t="s">
        <v>811</v>
      </c>
      <c r="M4" s="88" t="s">
        <v>808</v>
      </c>
      <c r="N4" s="2">
        <v>12.515886957000003</v>
      </c>
    </row>
    <row r="5" spans="1:14" ht="15.75" thickBot="1" x14ac:dyDescent="0.3">
      <c r="A5" s="87"/>
      <c r="B5" s="94" t="s">
        <v>824</v>
      </c>
      <c r="C5" s="94" t="s">
        <v>182</v>
      </c>
      <c r="D5" s="94" t="s">
        <v>803</v>
      </c>
      <c r="E5" s="94" t="s">
        <v>812</v>
      </c>
      <c r="F5" s="94" t="s">
        <v>830</v>
      </c>
      <c r="G5" s="94" t="s">
        <v>870</v>
      </c>
      <c r="H5" s="94" t="s">
        <v>887</v>
      </c>
      <c r="I5" s="94" t="s">
        <v>892</v>
      </c>
      <c r="J5" s="94" t="s">
        <v>1017</v>
      </c>
      <c r="M5" s="88" t="s">
        <v>810</v>
      </c>
      <c r="N5" s="2">
        <v>4.6399906269999995</v>
      </c>
    </row>
    <row r="6" spans="1:14" ht="15.75" thickBot="1" x14ac:dyDescent="0.3">
      <c r="A6" s="88" t="s">
        <v>807</v>
      </c>
      <c r="B6" s="875">
        <f>15437.057311/1000</f>
        <v>15.437057311</v>
      </c>
      <c r="C6" s="875">
        <f>23297.594672/1000</f>
        <v>23.297594671999999</v>
      </c>
      <c r="D6" s="875">
        <f>20432.910532/1000</f>
        <v>20.432910532000001</v>
      </c>
      <c r="E6" s="875">
        <f>34668.685199/1000</f>
        <v>34.668685199000002</v>
      </c>
      <c r="F6" s="875">
        <f>16246.298825/1000</f>
        <v>16.246298825</v>
      </c>
      <c r="G6" s="875">
        <f>15277.175031/1000</f>
        <v>15.277175031000001</v>
      </c>
      <c r="H6" s="875">
        <f>16206.536644/1000</f>
        <v>16.206536644</v>
      </c>
      <c r="I6" s="875">
        <f>28606.675965/1000</f>
        <v>28.606675964999997</v>
      </c>
      <c r="J6" s="875">
        <f>(SUM(uj_hitelek!B48+uj_hitelek!B144+uj_hitelek!J144))/1000</f>
        <v>16.321481222999999</v>
      </c>
    </row>
    <row r="7" spans="1:14" ht="15.75" thickBot="1" x14ac:dyDescent="0.3">
      <c r="A7" s="88" t="s">
        <v>808</v>
      </c>
      <c r="B7" s="875">
        <f>7434.346927/1000</f>
        <v>7.434346927</v>
      </c>
      <c r="C7" s="875">
        <f>38331.749634/1000</f>
        <v>38.331749633999998</v>
      </c>
      <c r="D7" s="875">
        <f>18941.742966/1000</f>
        <v>18.941742966000003</v>
      </c>
      <c r="E7" s="875">
        <f>12689.77632/1000</f>
        <v>12.68977632</v>
      </c>
      <c r="F7" s="875">
        <f>7602.078619/1000</f>
        <v>7.6020786190000003</v>
      </c>
      <c r="G7" s="875">
        <f>13989.408731/1000</f>
        <v>13.989408730999999</v>
      </c>
      <c r="H7" s="875">
        <f>9776.249399/1000</f>
        <v>9.776249399000001</v>
      </c>
      <c r="I7" s="875">
        <f>17884.210343/1000</f>
        <v>17.884210342999999</v>
      </c>
      <c r="J7" s="875">
        <f>(SUM(uj_hitelek!C48+uj_hitelek!C144+uj_hitelek!K144))/1000</f>
        <v>12.515886957000003</v>
      </c>
    </row>
    <row r="8" spans="1:14" ht="15.75" thickBot="1" x14ac:dyDescent="0.3">
      <c r="A8" s="88" t="s">
        <v>809</v>
      </c>
      <c r="B8" s="875">
        <f>23749.780278/1000</f>
        <v>23.749780277999999</v>
      </c>
      <c r="C8" s="875">
        <f>38685.39181/1000</f>
        <v>38.685391809999999</v>
      </c>
      <c r="D8" s="875">
        <f>34793.012416/1000</f>
        <v>34.793012415999996</v>
      </c>
      <c r="E8" s="875">
        <f>27790.078131/1000</f>
        <v>27.790078130999998</v>
      </c>
      <c r="F8" s="875">
        <f>27010.223541/1000</f>
        <v>27.010223540999998</v>
      </c>
      <c r="G8" s="875">
        <f>30583.304453/1000</f>
        <v>30.583304453</v>
      </c>
      <c r="H8" s="875">
        <f>27876.15763/1000</f>
        <v>27.876157630000002</v>
      </c>
      <c r="I8" s="875">
        <f>32190.438803/1000</f>
        <v>32.190438802999999</v>
      </c>
      <c r="J8" s="875">
        <f>(SUM(uj_hitelek!E48+uj_hitelek!F48+uj_hitelek!E144+uj_hitelek!F144+uj_hitelek!L144))/1000</f>
        <v>21.490998931000004</v>
      </c>
    </row>
    <row r="9" spans="1:14" ht="15.75" thickBot="1" x14ac:dyDescent="0.3">
      <c r="A9" s="88" t="s">
        <v>810</v>
      </c>
      <c r="B9" s="875">
        <f>4933.664044/1000</f>
        <v>4.9336640440000004</v>
      </c>
      <c r="C9" s="875">
        <f>12431.986947/1000</f>
        <v>12.431986946999999</v>
      </c>
      <c r="D9" s="875">
        <f>4295.715186/1000</f>
        <v>4.2957151860000007</v>
      </c>
      <c r="E9" s="875">
        <f>4188.970311/1000</f>
        <v>4.1889703110000003</v>
      </c>
      <c r="F9" s="875">
        <f>5377.897651/1000</f>
        <v>5.3778976510000005</v>
      </c>
      <c r="G9" s="875">
        <f>8476.089624/1000</f>
        <v>8.4760896240000001</v>
      </c>
      <c r="H9" s="875">
        <f>1999.114603/1000</f>
        <v>1.999114603</v>
      </c>
      <c r="I9" s="875">
        <f>6560.891605/1000</f>
        <v>6.5608916050000001</v>
      </c>
      <c r="J9" s="875">
        <f>(SUM(uj_hitelek!H48+uj_hitelek!H144))/1000</f>
        <v>4.6399906269999995</v>
      </c>
    </row>
    <row r="10" spans="1:14" x14ac:dyDescent="0.25">
      <c r="B10" s="93"/>
    </row>
    <row r="11" spans="1:14" x14ac:dyDescent="0.25">
      <c r="C11" s="86"/>
    </row>
    <row r="14" spans="1:14" x14ac:dyDescent="0.25">
      <c r="B14" s="2"/>
      <c r="C14" s="2"/>
      <c r="D14" s="2"/>
    </row>
    <row r="15" spans="1:14" x14ac:dyDescent="0.25">
      <c r="B15" s="2"/>
      <c r="C15" s="2"/>
      <c r="D15" s="2"/>
      <c r="E15" s="2"/>
    </row>
    <row r="16" spans="1:14" x14ac:dyDescent="0.25">
      <c r="B16" s="2"/>
      <c r="C16" s="2"/>
      <c r="D16" s="2"/>
      <c r="E16" s="2"/>
    </row>
    <row r="17" spans="2:20" x14ac:dyDescent="0.25">
      <c r="B17" s="2"/>
      <c r="C17" s="2"/>
      <c r="D17" s="2"/>
    </row>
    <row r="18" spans="2:20" x14ac:dyDescent="0.25">
      <c r="B18" s="2"/>
      <c r="C18" s="2"/>
      <c r="D18" s="2"/>
    </row>
    <row r="19" spans="2:20" x14ac:dyDescent="0.25">
      <c r="B19" s="2"/>
      <c r="C19" s="2"/>
      <c r="D19" s="2"/>
    </row>
    <row r="20" spans="2:20" x14ac:dyDescent="0.25">
      <c r="B20" s="2"/>
      <c r="C20" s="2"/>
      <c r="D20" s="2"/>
    </row>
    <row r="21" spans="2:20" x14ac:dyDescent="0.25">
      <c r="B21" s="2"/>
      <c r="C21" s="2"/>
      <c r="D21" s="2"/>
    </row>
    <row r="23" spans="2:20" x14ac:dyDescent="0.25">
      <c r="E23" s="168"/>
    </row>
    <row r="24" spans="2:20" x14ac:dyDescent="0.25">
      <c r="B24" s="2"/>
      <c r="C24" s="2"/>
      <c r="D24" s="2"/>
      <c r="E24" s="2"/>
    </row>
    <row r="25" spans="2:20" x14ac:dyDescent="0.25">
      <c r="B25" s="2"/>
      <c r="C25" s="2"/>
      <c r="D25" s="2"/>
      <c r="E25" s="2"/>
    </row>
    <row r="26" spans="2:20" x14ac:dyDescent="0.25">
      <c r="B26" s="2"/>
      <c r="C26" s="2"/>
      <c r="D26" s="2"/>
      <c r="E26" s="2"/>
    </row>
    <row r="31" spans="2:20" ht="15.75" thickBot="1" x14ac:dyDescent="0.3">
      <c r="N31" s="1078" t="s">
        <v>1017</v>
      </c>
      <c r="O31" s="1078"/>
      <c r="P31" s="1078"/>
      <c r="Q31" s="1078"/>
      <c r="R31" s="86"/>
      <c r="S31" s="86"/>
      <c r="T31" s="86"/>
    </row>
    <row r="32" spans="2:20" ht="15.75" thickBot="1" x14ac:dyDescent="0.3">
      <c r="D32" s="94" t="s">
        <v>824</v>
      </c>
      <c r="E32" s="94" t="s">
        <v>182</v>
      </c>
      <c r="F32" s="94" t="s">
        <v>803</v>
      </c>
      <c r="G32" s="94" t="s">
        <v>812</v>
      </c>
      <c r="H32" s="94" t="s">
        <v>830</v>
      </c>
      <c r="I32" s="94" t="s">
        <v>870</v>
      </c>
      <c r="J32" s="94" t="s">
        <v>887</v>
      </c>
      <c r="K32" s="94" t="s">
        <v>892</v>
      </c>
      <c r="L32" s="94" t="s">
        <v>1017</v>
      </c>
      <c r="N32" s="861" t="s">
        <v>186</v>
      </c>
      <c r="O32" s="861" t="s">
        <v>187</v>
      </c>
      <c r="P32" s="861" t="s">
        <v>188</v>
      </c>
      <c r="Q32" s="861" t="s">
        <v>146</v>
      </c>
      <c r="S32" s="86"/>
      <c r="T32" s="86"/>
    </row>
    <row r="33" spans="2:36" ht="15.75" thickBot="1" x14ac:dyDescent="0.3">
      <c r="B33" s="88" t="s">
        <v>189</v>
      </c>
      <c r="D33" s="1">
        <v>15437.057311</v>
      </c>
      <c r="E33" s="1">
        <v>23297.594671999999</v>
      </c>
      <c r="F33" s="1">
        <v>20432.910532000002</v>
      </c>
      <c r="G33" s="1">
        <v>34668.685199</v>
      </c>
      <c r="H33" s="1">
        <v>16246.298825000002</v>
      </c>
      <c r="I33" s="1">
        <f>'[2]uj_hitelek_publi_millió Ft'!$B$48+'[2]uj_hitelek_publi_millió Ft'!$J$48+'[2]uj_hitelek_publi_millió Ft'!$B$144+'[2]uj_hitelek_publi_millió Ft'!$J$144</f>
        <v>15277.175030999999</v>
      </c>
      <c r="J33" s="1">
        <f>16.206536644*1000</f>
        <v>16206.536644</v>
      </c>
      <c r="K33" s="1">
        <v>28606.675965000002</v>
      </c>
      <c r="L33" s="1">
        <f>16.321481223*1000</f>
        <v>16321.481222999999</v>
      </c>
      <c r="M33" s="88" t="s">
        <v>189</v>
      </c>
      <c r="N33" s="149">
        <f>L33/K33*100-100</f>
        <v>-42.945201871866637</v>
      </c>
      <c r="O33" s="149">
        <f>L33/H33</f>
        <v>1.0046276631256041</v>
      </c>
      <c r="P33" s="562">
        <f>-12285.194742/1000</f>
        <v>-12.285194742</v>
      </c>
      <c r="Q33" s="562">
        <f>75.1823979999972/1000</f>
        <v>7.5182397999997208E-2</v>
      </c>
      <c r="S33" s="86"/>
      <c r="T33" s="86"/>
      <c r="AA33" s="91" t="s">
        <v>143</v>
      </c>
      <c r="AC33" s="91" t="s">
        <v>158</v>
      </c>
      <c r="AE33" s="91" t="s">
        <v>169</v>
      </c>
      <c r="AG33" s="91" t="s">
        <v>152</v>
      </c>
      <c r="AH33" s="91" t="s">
        <v>153</v>
      </c>
      <c r="AI33" s="96" t="s">
        <v>145</v>
      </c>
      <c r="AJ33" s="96" t="s">
        <v>146</v>
      </c>
    </row>
    <row r="34" spans="2:36" ht="15.75" thickBot="1" x14ac:dyDescent="0.3">
      <c r="B34" s="88" t="s">
        <v>190</v>
      </c>
      <c r="D34" s="1">
        <v>7434.3469269999996</v>
      </c>
      <c r="E34" s="1">
        <v>38331.749634</v>
      </c>
      <c r="F34" s="1">
        <v>18941.742966000002</v>
      </c>
      <c r="G34" s="1">
        <v>12689.776320000001</v>
      </c>
      <c r="H34" s="1">
        <v>7602.0786189999999</v>
      </c>
      <c r="I34" s="1">
        <f>'[2]uj_hitelek_publi_millió Ft'!$C$48+'[2]uj_hitelek_publi_millió Ft'!$C$144+'[2]uj_hitelek_publi_millió Ft'!$K$144</f>
        <v>13989.408731</v>
      </c>
      <c r="J34" s="1">
        <f>9.776249399*1000</f>
        <v>9776.2493989999984</v>
      </c>
      <c r="K34" s="1">
        <v>17884.210342999999</v>
      </c>
      <c r="L34" s="1">
        <f>12.515886957*1000</f>
        <v>12515.886956999999</v>
      </c>
      <c r="M34" s="88" t="s">
        <v>190</v>
      </c>
      <c r="N34" s="149">
        <f t="shared" ref="N34:N36" si="0">L34/K34*100-100</f>
        <v>-30.017111647879929</v>
      </c>
      <c r="O34" s="149">
        <f t="shared" ref="O34:O36" si="1">L34/H34</f>
        <v>1.6463769429743647</v>
      </c>
      <c r="P34" s="562">
        <f>-5368.323386/1000</f>
        <v>-5.3683233860000001</v>
      </c>
      <c r="Q34" s="562">
        <f>4913.808338/1000</f>
        <v>4.9138083379999999</v>
      </c>
      <c r="S34" s="86"/>
      <c r="T34" s="86"/>
      <c r="Z34" t="s">
        <v>148</v>
      </c>
      <c r="AA34" s="86">
        <v>28.5</v>
      </c>
      <c r="AC34" s="86">
        <v>39.698999999999998</v>
      </c>
      <c r="AE34" s="86">
        <v>18.312999999999999</v>
      </c>
      <c r="AG34" s="2">
        <f>AE34/AC34*100-100</f>
        <v>-53.870374568628932</v>
      </c>
    </row>
    <row r="35" spans="2:36" ht="15.75" thickBot="1" x14ac:dyDescent="0.3">
      <c r="B35" s="88" t="s">
        <v>191</v>
      </c>
      <c r="D35" s="1">
        <v>23749.780277999998</v>
      </c>
      <c r="E35" s="1">
        <v>38685.391810000001</v>
      </c>
      <c r="F35" s="1">
        <v>34793.012415999998</v>
      </c>
      <c r="G35" s="1">
        <v>27790.078131000002</v>
      </c>
      <c r="H35" s="1">
        <v>27010.223540999999</v>
      </c>
      <c r="I35" s="1">
        <f>'[2]uj_hitelek_publi_millió Ft'!$E$48+'[2]uj_hitelek_publi_millió Ft'!$F$48+'[2]uj_hitelek_publi_millió Ft'!$E$144+'[2]uj_hitelek_publi_millió Ft'!$F$144+'[2]uj_hitelek_publi_millió Ft'!$L$144</f>
        <v>30583.304452999997</v>
      </c>
      <c r="J35" s="1">
        <f>27.87615763*1000</f>
        <v>27876.157630000002</v>
      </c>
      <c r="K35" s="1">
        <v>32190.438802999997</v>
      </c>
      <c r="L35" s="1">
        <f>21.490998931*1000</f>
        <v>21490.998930999998</v>
      </c>
      <c r="M35" s="88" t="s">
        <v>191</v>
      </c>
      <c r="N35" s="149">
        <f t="shared" si="0"/>
        <v>-33.237943531862825</v>
      </c>
      <c r="O35" s="149">
        <f t="shared" si="1"/>
        <v>0.79566164635319925</v>
      </c>
      <c r="P35" s="562">
        <f>-10699.439872/1000</f>
        <v>-10.699439872000001</v>
      </c>
      <c r="Q35" s="562">
        <f>-5519.22461/1000</f>
        <v>-5.5192246100000002</v>
      </c>
      <c r="S35" s="86"/>
      <c r="T35" s="86"/>
      <c r="Z35" t="s">
        <v>149</v>
      </c>
      <c r="AA35" s="86">
        <v>14.7</v>
      </c>
      <c r="AC35" s="86">
        <v>20.521000000000001</v>
      </c>
      <c r="AE35" s="86">
        <v>9.4049999999999994</v>
      </c>
      <c r="AG35" s="2">
        <f t="shared" ref="AG35:AG38" si="2">AE35/AC35*100-100</f>
        <v>-54.168900151064769</v>
      </c>
    </row>
    <row r="36" spans="2:36" ht="15.75" thickBot="1" x14ac:dyDescent="0.3">
      <c r="B36" s="88" t="s">
        <v>192</v>
      </c>
      <c r="D36" s="1">
        <v>4933.6640439999992</v>
      </c>
      <c r="E36" s="1">
        <v>12431.986946999999</v>
      </c>
      <c r="F36" s="1">
        <v>4295.7151860000004</v>
      </c>
      <c r="G36" s="1">
        <v>4188.9703110000009</v>
      </c>
      <c r="H36" s="1">
        <v>5377.8976510000002</v>
      </c>
      <c r="I36" s="1">
        <f>'[2]uj_hitelek_publi_millió Ft'!$H$48+'[2]uj_hitelek_publi_millió Ft'!$M$48+'[2]uj_hitelek_publi_millió Ft'!$H$144+'[2]uj_hitelek_publi_millió Ft'!$M$144</f>
        <v>8476.0896239999984</v>
      </c>
      <c r="J36" s="1">
        <f>1.999114603*1000</f>
        <v>1999.114603</v>
      </c>
      <c r="K36" s="1">
        <v>6560.8916050000007</v>
      </c>
      <c r="L36" s="1">
        <f>4.639990627*1000</f>
        <v>4639.9906270000001</v>
      </c>
      <c r="M36" s="88" t="s">
        <v>192</v>
      </c>
      <c r="N36" s="149">
        <f t="shared" si="0"/>
        <v>-29.278047766192287</v>
      </c>
      <c r="O36" s="149">
        <f t="shared" si="1"/>
        <v>0.86278894246661819</v>
      </c>
      <c r="P36" s="562">
        <f>-1920.900978/1000</f>
        <v>-1.9209009779999999</v>
      </c>
      <c r="Q36" s="562">
        <f>-737.907024/1000</f>
        <v>-0.73790702399999997</v>
      </c>
      <c r="S36" s="86"/>
      <c r="T36" s="86"/>
      <c r="Z36" t="s">
        <v>150</v>
      </c>
      <c r="AA36" s="86">
        <v>14.2</v>
      </c>
      <c r="AC36" s="86">
        <v>63.054000000000002</v>
      </c>
      <c r="AE36" s="86">
        <v>87.215999999999994</v>
      </c>
      <c r="AG36" s="2">
        <f t="shared" si="2"/>
        <v>38.319535636121401</v>
      </c>
    </row>
    <row r="37" spans="2:36" x14ac:dyDescent="0.25">
      <c r="D37" s="93">
        <v>51554.848559999991</v>
      </c>
      <c r="E37" s="93">
        <v>112746.723063</v>
      </c>
      <c r="F37" s="93">
        <v>78463.381099999999</v>
      </c>
      <c r="G37" s="93">
        <v>79337.509961000003</v>
      </c>
      <c r="H37" s="93">
        <v>56236.498635999997</v>
      </c>
      <c r="I37" s="93">
        <v>68325.977838999999</v>
      </c>
      <c r="J37" s="93">
        <v>55858.058276000003</v>
      </c>
      <c r="K37" s="93">
        <v>85242.216715999995</v>
      </c>
      <c r="L37" s="106">
        <f>SUM(L33:L36)</f>
        <v>54968.357737999999</v>
      </c>
      <c r="Z37" t="s">
        <v>151</v>
      </c>
      <c r="AA37" s="86">
        <v>5.8</v>
      </c>
      <c r="AC37" s="86">
        <v>5.8940000000000001</v>
      </c>
      <c r="AE37" s="86">
        <v>4.7370000000000001</v>
      </c>
      <c r="AG37" s="2">
        <f t="shared" si="2"/>
        <v>-19.630132337970821</v>
      </c>
    </row>
    <row r="38" spans="2:36" x14ac:dyDescent="0.25">
      <c r="D38" s="93">
        <v>55419.477956000002</v>
      </c>
      <c r="E38" s="93">
        <v>136324.69424300001</v>
      </c>
      <c r="F38" s="93">
        <v>107059.16756900001</v>
      </c>
      <c r="G38" s="93">
        <v>88396.713565000013</v>
      </c>
      <c r="H38" s="93">
        <v>66821.280998000002</v>
      </c>
      <c r="I38" s="93"/>
      <c r="J38" t="s">
        <v>842</v>
      </c>
      <c r="K38" t="s">
        <v>100</v>
      </c>
      <c r="Z38" s="100" t="s">
        <v>147</v>
      </c>
      <c r="AA38" s="86">
        <f>SUM(AA34:AA37)</f>
        <v>63.2</v>
      </c>
      <c r="AB38" s="2"/>
      <c r="AC38" s="86">
        <f>SUM(AC34:AC37)</f>
        <v>129.16800000000001</v>
      </c>
      <c r="AD38" s="86"/>
      <c r="AE38" s="86">
        <f>SUM(AE34:AE37)</f>
        <v>119.67099999999999</v>
      </c>
      <c r="AF38" s="86">
        <f>AE38/1000</f>
        <v>0.11967099999999999</v>
      </c>
      <c r="AG38" s="2">
        <f t="shared" si="2"/>
        <v>-7.3524402328750256</v>
      </c>
      <c r="AH38" s="2">
        <f>AE38/AA38*100-100</f>
        <v>89.352848101265806</v>
      </c>
      <c r="AI38" s="1">
        <f>AE38-AC38</f>
        <v>-9.4970000000000141</v>
      </c>
      <c r="AJ38" s="1">
        <f>AE38-AA38</f>
        <v>56.470999999999989</v>
      </c>
    </row>
    <row r="39" spans="2:36" x14ac:dyDescent="0.25">
      <c r="B39" s="877" t="s">
        <v>841</v>
      </c>
      <c r="C39" s="108" t="s">
        <v>121</v>
      </c>
      <c r="D39" s="876">
        <f>106974.326516/1000</f>
        <v>106.974326516</v>
      </c>
      <c r="E39" s="876">
        <f>249071.417306/1000</f>
        <v>249.071417306</v>
      </c>
      <c r="F39" s="876">
        <f>185522.548669/1000</f>
        <v>185.522548669</v>
      </c>
      <c r="G39" s="876">
        <f>167734.223526/1000</f>
        <v>167.73422352599999</v>
      </c>
      <c r="H39" s="876">
        <f>123057.779634/1000</f>
        <v>123.057779634</v>
      </c>
      <c r="I39" s="876"/>
      <c r="J39" s="149">
        <f>H39/G39*100-100</f>
        <v>-26.635258418252874</v>
      </c>
      <c r="K39" s="149">
        <f>H39/D39*100-100</f>
        <v>15.034872049972108</v>
      </c>
      <c r="AA39" s="86"/>
      <c r="AC39" s="86"/>
      <c r="AE39" s="86"/>
    </row>
    <row r="40" spans="2:36" ht="15.75" thickBot="1" x14ac:dyDescent="0.3">
      <c r="Z40" t="s">
        <v>154</v>
      </c>
      <c r="AA40" s="86">
        <f>AA34+AA36</f>
        <v>42.7</v>
      </c>
      <c r="AC40" s="86">
        <f>AC34+AC36</f>
        <v>102.753</v>
      </c>
      <c r="AE40" s="86">
        <f>AE34+AE36</f>
        <v>105.529</v>
      </c>
      <c r="AG40" s="2"/>
      <c r="AH40" s="2">
        <f>AA40/AC40*100-100</f>
        <v>-58.444035697254577</v>
      </c>
    </row>
    <row r="41" spans="2:36" x14ac:dyDescent="0.25">
      <c r="J41" t="s">
        <v>843</v>
      </c>
      <c r="K41" t="s">
        <v>844</v>
      </c>
      <c r="N41" s="94" t="s">
        <v>186</v>
      </c>
      <c r="Z41" t="s">
        <v>155</v>
      </c>
      <c r="AA41" s="86">
        <f>AA35+AA37</f>
        <v>20.5</v>
      </c>
      <c r="AC41" s="86">
        <f>AC35+AC37</f>
        <v>26.414999999999999</v>
      </c>
      <c r="AE41" s="86">
        <f>AE35+AE37</f>
        <v>14.141999999999999</v>
      </c>
      <c r="AG41" s="2">
        <f>AA41/AE41*100-100</f>
        <v>44.958280299816181</v>
      </c>
      <c r="AH41" s="2">
        <f>AA41/AC41*100-100</f>
        <v>-22.392579973499906</v>
      </c>
    </row>
    <row r="42" spans="2:36" ht="15.75" thickBot="1" x14ac:dyDescent="0.3">
      <c r="J42" s="86">
        <f>H39-G39</f>
        <v>-44.676443891999995</v>
      </c>
      <c r="K42" s="86">
        <f>H39-D39</f>
        <v>16.083453117999994</v>
      </c>
      <c r="M42" s="88" t="s">
        <v>189</v>
      </c>
      <c r="N42" s="149">
        <v>-42.945201871866637</v>
      </c>
      <c r="AC42" s="86"/>
      <c r="AE42" s="86"/>
    </row>
    <row r="43" spans="2:36" ht="15.75" thickBot="1" x14ac:dyDescent="0.3">
      <c r="M43" s="88" t="s">
        <v>191</v>
      </c>
      <c r="N43" s="149">
        <v>-33.237943531862825</v>
      </c>
      <c r="Z43" t="s">
        <v>156</v>
      </c>
      <c r="AA43" s="86">
        <f>AA40/AA38*100</f>
        <v>67.563291139240505</v>
      </c>
      <c r="AC43" s="86">
        <f>AC40/AC38*100</f>
        <v>79.549888517279825</v>
      </c>
      <c r="AE43" s="86">
        <f>AE40/AE38*100</f>
        <v>88.182600630060747</v>
      </c>
    </row>
    <row r="44" spans="2:36" ht="15.75" thickBot="1" x14ac:dyDescent="0.3">
      <c r="M44" s="88" t="s">
        <v>190</v>
      </c>
      <c r="N44" s="149">
        <v>-30.017111647879929</v>
      </c>
      <c r="Z44" t="s">
        <v>157</v>
      </c>
      <c r="AA44" s="86">
        <f>AA41/AA38*100</f>
        <v>32.436708860759495</v>
      </c>
      <c r="AC44" s="86">
        <f>AC41/AC38*100</f>
        <v>20.450111482720175</v>
      </c>
      <c r="AE44" s="86">
        <f>AE41/AE38*100</f>
        <v>11.817399369939251</v>
      </c>
    </row>
    <row r="45" spans="2:36" ht="15.75" thickBot="1" x14ac:dyDescent="0.3">
      <c r="M45" s="88" t="s">
        <v>192</v>
      </c>
      <c r="N45" s="149">
        <v>-29.278047766192287</v>
      </c>
    </row>
    <row r="46" spans="2:36" x14ac:dyDescent="0.25">
      <c r="N46" s="895" t="s">
        <v>187</v>
      </c>
    </row>
    <row r="47" spans="2:36" ht="15.75" thickBot="1" x14ac:dyDescent="0.3">
      <c r="M47" s="88" t="s">
        <v>190</v>
      </c>
      <c r="N47" s="149">
        <v>1.6463769429743647</v>
      </c>
    </row>
    <row r="48" spans="2:36" ht="15.75" thickBot="1" x14ac:dyDescent="0.3">
      <c r="M48" s="88" t="s">
        <v>189</v>
      </c>
      <c r="N48" s="149">
        <v>1.0046276631256041</v>
      </c>
    </row>
    <row r="49" spans="13:16" ht="15.75" thickBot="1" x14ac:dyDescent="0.3">
      <c r="M49" s="88" t="s">
        <v>192</v>
      </c>
      <c r="N49" s="149">
        <v>0.86278894246661819</v>
      </c>
    </row>
    <row r="50" spans="13:16" ht="15.75" thickBot="1" x14ac:dyDescent="0.3">
      <c r="M50" s="88" t="s">
        <v>191</v>
      </c>
      <c r="N50" s="149">
        <v>0.79566164635319925</v>
      </c>
    </row>
    <row r="51" spans="13:16" x14ac:dyDescent="0.25">
      <c r="P51" s="1">
        <f>+'14. ábra'!N26</f>
        <v>0</v>
      </c>
    </row>
    <row r="53" spans="13:16" x14ac:dyDescent="0.25">
      <c r="N53" s="902" t="s">
        <v>188</v>
      </c>
    </row>
    <row r="54" spans="13:16" ht="15.75" thickBot="1" x14ac:dyDescent="0.3">
      <c r="M54" s="88" t="s">
        <v>84</v>
      </c>
      <c r="N54" s="562">
        <v>-12.285194742</v>
      </c>
    </row>
    <row r="55" spans="13:16" ht="15.75" thickBot="1" x14ac:dyDescent="0.3">
      <c r="M55" s="88" t="s">
        <v>86</v>
      </c>
      <c r="N55" s="562">
        <v>-10.699439872000001</v>
      </c>
    </row>
    <row r="56" spans="13:16" ht="15.75" thickBot="1" x14ac:dyDescent="0.3">
      <c r="M56" s="88" t="s">
        <v>85</v>
      </c>
      <c r="N56" s="562">
        <v>-5.3683233860000001</v>
      </c>
    </row>
    <row r="57" spans="13:16" ht="15.75" thickBot="1" x14ac:dyDescent="0.3">
      <c r="M57" s="88" t="s">
        <v>87</v>
      </c>
      <c r="N57" s="562">
        <v>-1.9209009779999999</v>
      </c>
    </row>
    <row r="59" spans="13:16" x14ac:dyDescent="0.25">
      <c r="N59" s="902" t="s">
        <v>146</v>
      </c>
    </row>
    <row r="60" spans="13:16" ht="15.75" thickBot="1" x14ac:dyDescent="0.3">
      <c r="M60" s="88" t="s">
        <v>86</v>
      </c>
      <c r="N60" s="562">
        <v>-5.5192246100000002</v>
      </c>
    </row>
    <row r="61" spans="13:16" ht="15.75" thickBot="1" x14ac:dyDescent="0.3">
      <c r="M61" s="88" t="s">
        <v>87</v>
      </c>
      <c r="N61" s="562">
        <v>-0.73790702399999997</v>
      </c>
    </row>
    <row r="62" spans="13:16" ht="15.75" thickBot="1" x14ac:dyDescent="0.3">
      <c r="M62" s="88" t="s">
        <v>84</v>
      </c>
      <c r="N62" s="562">
        <v>7.5182397999997208E-2</v>
      </c>
    </row>
    <row r="63" spans="13:16" ht="15.75" thickBot="1" x14ac:dyDescent="0.3">
      <c r="M63" s="88" t="s">
        <v>85</v>
      </c>
      <c r="N63" s="562">
        <v>4.9138083379999999</v>
      </c>
    </row>
  </sheetData>
  <sortState ref="M2:N5">
    <sortCondition descending="1" ref="N2:N5"/>
  </sortState>
  <mergeCells count="2">
    <mergeCell ref="N31:Q31"/>
    <mergeCell ref="A1:I1"/>
  </mergeCells>
  <pageMargins left="0.7" right="0.7" top="0.75" bottom="0.75" header="0.3" footer="0.3"/>
  <pageSetup paperSize="9" orientation="portrait" r:id="rId1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60"/>
  <sheetViews>
    <sheetView topLeftCell="J1" workbookViewId="0">
      <selection activeCell="J4" sqref="J4:J7"/>
    </sheetView>
  </sheetViews>
  <sheetFormatPr defaultRowHeight="15" x14ac:dyDescent="0.25"/>
  <cols>
    <col min="1" max="1" width="55.7109375" customWidth="1"/>
    <col min="7" max="7" width="13.28515625" bestFit="1" customWidth="1"/>
    <col min="12" max="12" width="12.140625" bestFit="1" customWidth="1"/>
    <col min="13" max="13" width="10.42578125" bestFit="1" customWidth="1"/>
    <col min="14" max="14" width="35.5703125" customWidth="1"/>
  </cols>
  <sheetData>
    <row r="1" spans="1:15" x14ac:dyDescent="0.25">
      <c r="A1" s="1073" t="s">
        <v>898</v>
      </c>
      <c r="B1" s="1073"/>
      <c r="C1" s="1073"/>
      <c r="D1" s="1073"/>
      <c r="E1" s="1073"/>
      <c r="F1" s="1073"/>
      <c r="G1" s="1073"/>
      <c r="H1" s="1073"/>
      <c r="I1" s="1073"/>
    </row>
    <row r="2" spans="1:15" ht="15.75" thickBot="1" x14ac:dyDescent="0.3"/>
    <row r="3" spans="1:15" ht="15.75" thickBot="1" x14ac:dyDescent="0.3">
      <c r="A3" s="3"/>
      <c r="B3" s="94" t="s">
        <v>824</v>
      </c>
      <c r="C3" s="94" t="s">
        <v>182</v>
      </c>
      <c r="D3" s="94" t="s">
        <v>805</v>
      </c>
      <c r="E3" s="94" t="s">
        <v>812</v>
      </c>
      <c r="F3" s="94" t="s">
        <v>830</v>
      </c>
      <c r="G3" s="94" t="s">
        <v>870</v>
      </c>
      <c r="H3" s="94" t="s">
        <v>887</v>
      </c>
      <c r="I3" s="94" t="s">
        <v>892</v>
      </c>
      <c r="J3" s="94" t="s">
        <v>1017</v>
      </c>
      <c r="L3" s="151" t="s">
        <v>877</v>
      </c>
      <c r="M3" s="151" t="s">
        <v>874</v>
      </c>
      <c r="N3" s="151" t="s">
        <v>878</v>
      </c>
      <c r="O3" s="151" t="s">
        <v>879</v>
      </c>
    </row>
    <row r="4" spans="1:15" x14ac:dyDescent="0.25">
      <c r="A4" s="20" t="s">
        <v>193</v>
      </c>
      <c r="B4" s="86">
        <f>9842.568679/1000</f>
        <v>9.8425686789999993</v>
      </c>
      <c r="C4" s="86">
        <f>27153.159241/1000</f>
        <v>27.153159241000001</v>
      </c>
      <c r="D4" s="86">
        <f>14115.240419/1000</f>
        <v>14.115240418999999</v>
      </c>
      <c r="E4" s="86">
        <f>13420.174457/1000</f>
        <v>13.420174457</v>
      </c>
      <c r="F4" s="86">
        <f>19810.376046/1000</f>
        <v>19.810376046000002</v>
      </c>
      <c r="G4" s="86">
        <f>5716.631652/1000</f>
        <v>5.7166316520000002</v>
      </c>
      <c r="H4" s="86">
        <f>14847.378151/1000</f>
        <v>14.847378151000001</v>
      </c>
      <c r="I4" s="86">
        <f>14357.921686/1000</f>
        <v>14.357921685999999</v>
      </c>
      <c r="J4" s="2">
        <f>SUM(uj_hitelek!B179+uj_hitelek!J179+uj_hitelek!B83)/1000</f>
        <v>10.937059279000001</v>
      </c>
      <c r="L4" s="86">
        <f>J4/I4*100-100</f>
        <v>-23.825609874551574</v>
      </c>
      <c r="M4" s="86">
        <f>J4/F4*100-100</f>
        <v>-44.791258613143036</v>
      </c>
      <c r="N4" s="86">
        <f>J4-I4</f>
        <v>-3.4208624069999978</v>
      </c>
      <c r="O4" s="86">
        <f>J4-F4</f>
        <v>-8.8733167670000004</v>
      </c>
    </row>
    <row r="5" spans="1:15" x14ac:dyDescent="0.25">
      <c r="A5" s="20" t="s">
        <v>194</v>
      </c>
      <c r="B5" s="86">
        <f>11745.728394/1000</f>
        <v>11.745728394</v>
      </c>
      <c r="C5" s="86">
        <f>59386.500511/1000</f>
        <v>59.386500511000001</v>
      </c>
      <c r="D5" s="86">
        <f>20869.988265/1000</f>
        <v>20.869988265</v>
      </c>
      <c r="E5" s="86">
        <f>12937.471728/1000</f>
        <v>12.937471728</v>
      </c>
      <c r="F5" s="86">
        <f>12593.507099/1000</f>
        <v>12.593507099</v>
      </c>
      <c r="G5" s="86">
        <f>12417.69298/1000</f>
        <v>12.41769298</v>
      </c>
      <c r="H5" s="86">
        <f>9729.844902/1000</f>
        <v>9.729844902</v>
      </c>
      <c r="I5" s="86">
        <f>2111.937581/1000</f>
        <v>2.1119375810000003</v>
      </c>
      <c r="J5" s="2">
        <f>SUM(uj_hitelek!C179)/1000</f>
        <v>3.5918430140000002</v>
      </c>
      <c r="L5" s="86">
        <f t="shared" ref="L5:L8" si="0">J5/I5*100-100</f>
        <v>70.073350950990999</v>
      </c>
      <c r="M5" s="86">
        <f t="shared" ref="M5:M8" si="1">J5/F5*100-100</f>
        <v>-71.478612067600977</v>
      </c>
      <c r="N5" s="86">
        <f t="shared" ref="N5:N8" si="2">J5-I5</f>
        <v>1.4799054329999999</v>
      </c>
      <c r="O5" s="86">
        <f t="shared" ref="O5:O8" si="3">J5-F5</f>
        <v>-9.0016640849999998</v>
      </c>
    </row>
    <row r="6" spans="1:15" x14ac:dyDescent="0.25">
      <c r="A6" s="20" t="s">
        <v>195</v>
      </c>
      <c r="B6" s="86">
        <f>32861.185714/1000</f>
        <v>32.861185714000001</v>
      </c>
      <c r="C6" s="86">
        <f>37753.004472/1000</f>
        <v>37.753004472000001</v>
      </c>
      <c r="D6" s="86">
        <f>63236.351332/1000</f>
        <v>63.236351331999998</v>
      </c>
      <c r="E6" s="86">
        <f>46856.010649/1000</f>
        <v>46.856010649000005</v>
      </c>
      <c r="F6" s="86">
        <f>34294.267074/1000</f>
        <v>34.294267074000004</v>
      </c>
      <c r="G6" s="86">
        <f>21748.366979/1000</f>
        <v>21.748366979</v>
      </c>
      <c r="H6" s="86">
        <f>64001.425123/1000</f>
        <v>64.001425123000004</v>
      </c>
      <c r="I6" s="86">
        <f>52972.601299/1000</f>
        <v>52.972601299000004</v>
      </c>
      <c r="J6" s="2">
        <f>SUM(uj_hitelek!E83+uj_hitelek!F83+uj_hitelek!E179+uj_hitelek!F179+uj_hitelek!L179)/1000</f>
        <v>48.320961951999998</v>
      </c>
      <c r="L6" s="86">
        <f t="shared" si="0"/>
        <v>-8.7812175217602828</v>
      </c>
      <c r="M6" s="86">
        <f t="shared" si="1"/>
        <v>40.90099038341674</v>
      </c>
      <c r="N6" s="86">
        <f t="shared" si="2"/>
        <v>-4.6516393470000068</v>
      </c>
      <c r="O6" s="86">
        <f t="shared" si="3"/>
        <v>14.026694877999994</v>
      </c>
    </row>
    <row r="7" spans="1:15" x14ac:dyDescent="0.25">
      <c r="A7" s="20" t="s">
        <v>196</v>
      </c>
      <c r="B7" s="86">
        <f>969.995169/1000</f>
        <v>0.96999516900000005</v>
      </c>
      <c r="C7" s="86">
        <f>12032.030019/1000</f>
        <v>12.032030019</v>
      </c>
      <c r="D7" s="86">
        <f>8837.587553/1000</f>
        <v>8.8375875529999988</v>
      </c>
      <c r="E7" s="86">
        <f>15183.056731/1000</f>
        <v>15.183056731000001</v>
      </c>
      <c r="F7" s="86">
        <f>123.130779/1000</f>
        <v>0.12313077900000001</v>
      </c>
      <c r="G7" s="86">
        <f>411.440321/1000</f>
        <v>0.411440321</v>
      </c>
      <c r="H7" s="86">
        <f>2281.745758/1000</f>
        <v>2.281745758</v>
      </c>
      <c r="I7" s="86">
        <f>3420.42291/1000</f>
        <v>3.4204229099999996</v>
      </c>
      <c r="J7" s="2">
        <f>SUM(uj_hitelek!H83+uj_hitelek!H179+uj_hitelek!M179)/1000</f>
        <v>1.506660197</v>
      </c>
      <c r="L7" s="86">
        <f t="shared" si="0"/>
        <v>-55.951055274623918</v>
      </c>
      <c r="M7" s="86">
        <f>J7/F7*100-100</f>
        <v>1123.6259765724376</v>
      </c>
      <c r="N7" s="86">
        <f t="shared" si="2"/>
        <v>-1.9137627129999997</v>
      </c>
      <c r="O7" s="86">
        <f t="shared" si="3"/>
        <v>1.383529418</v>
      </c>
    </row>
    <row r="8" spans="1:15" x14ac:dyDescent="0.25">
      <c r="A8" s="108" t="s">
        <v>121</v>
      </c>
      <c r="B8" s="93">
        <f>55419.477956/1000</f>
        <v>55.419477956000001</v>
      </c>
      <c r="C8" s="93">
        <f>136324.694243/1000</f>
        <v>136.32469424300001</v>
      </c>
      <c r="D8" s="93">
        <f>107059.167569/1000</f>
        <v>107.059167569</v>
      </c>
      <c r="E8" s="93">
        <f>88396.713565/1000</f>
        <v>88.396713564999999</v>
      </c>
      <c r="F8" s="93">
        <f>66821.280998/1000</f>
        <v>66.821280998000006</v>
      </c>
      <c r="G8" s="93">
        <f>SUM(G4:G7)</f>
        <v>40.294131931999999</v>
      </c>
      <c r="H8" s="93">
        <f>SUM(H4:H7)</f>
        <v>90.860393934000001</v>
      </c>
      <c r="I8" s="93">
        <f>72862.883476/1000</f>
        <v>72.862883476000007</v>
      </c>
      <c r="J8" s="167">
        <f>SUM(J4:J7)</f>
        <v>64.356524441999994</v>
      </c>
      <c r="K8" s="100"/>
      <c r="L8" s="93">
        <f t="shared" si="0"/>
        <v>-11.674474887892529</v>
      </c>
      <c r="M8" s="93">
        <f t="shared" si="1"/>
        <v>-3.6885802235275662</v>
      </c>
      <c r="N8" s="93">
        <f t="shared" si="2"/>
        <v>-8.5063590340000133</v>
      </c>
      <c r="O8" s="93">
        <f t="shared" si="3"/>
        <v>-2.4647565560000118</v>
      </c>
    </row>
    <row r="10" spans="1:15" x14ac:dyDescent="0.25">
      <c r="B10" s="2"/>
      <c r="J10" s="151" t="s">
        <v>1049</v>
      </c>
      <c r="M10" s="151" t="s">
        <v>874</v>
      </c>
    </row>
    <row r="11" spans="1:15" ht="15.75" thickBot="1" x14ac:dyDescent="0.3">
      <c r="H11" s="20" t="s">
        <v>661</v>
      </c>
      <c r="I11" s="877"/>
      <c r="J11" s="2">
        <v>70.073350950990999</v>
      </c>
      <c r="L11" s="20" t="s">
        <v>664</v>
      </c>
      <c r="M11" s="86">
        <v>1123.6259765724376</v>
      </c>
    </row>
    <row r="12" spans="1:15" x14ac:dyDescent="0.25">
      <c r="B12" s="94" t="s">
        <v>1017</v>
      </c>
      <c r="H12" s="20" t="s">
        <v>663</v>
      </c>
      <c r="I12" s="877"/>
      <c r="J12" s="2">
        <v>-8.7812175217602828</v>
      </c>
      <c r="L12" s="20" t="s">
        <v>663</v>
      </c>
      <c r="M12" s="2">
        <v>40.90099038341674</v>
      </c>
    </row>
    <row r="13" spans="1:15" x14ac:dyDescent="0.25">
      <c r="A13" s="20" t="s">
        <v>195</v>
      </c>
      <c r="B13" s="2">
        <v>48.320961951999998</v>
      </c>
      <c r="H13" s="20" t="s">
        <v>659</v>
      </c>
      <c r="I13" s="877"/>
      <c r="J13" s="2">
        <v>-23.825609874551574</v>
      </c>
      <c r="L13" s="20" t="s">
        <v>659</v>
      </c>
      <c r="M13" s="2">
        <v>-44.791258613143036</v>
      </c>
    </row>
    <row r="14" spans="1:15" x14ac:dyDescent="0.25">
      <c r="A14" s="20" t="s">
        <v>193</v>
      </c>
      <c r="B14" s="2">
        <v>10.937059279000001</v>
      </c>
      <c r="H14" s="20" t="s">
        <v>664</v>
      </c>
      <c r="I14" s="877"/>
      <c r="J14" s="2">
        <v>-55.951055274623918</v>
      </c>
      <c r="L14" s="20" t="s">
        <v>661</v>
      </c>
      <c r="M14" s="2">
        <v>-71.478612067600977</v>
      </c>
    </row>
    <row r="15" spans="1:15" x14ac:dyDescent="0.25">
      <c r="A15" s="20" t="s">
        <v>194</v>
      </c>
      <c r="B15" s="2">
        <v>3.5918430140000002</v>
      </c>
    </row>
    <row r="16" spans="1:15" x14ac:dyDescent="0.25">
      <c r="A16" s="20" t="s">
        <v>196</v>
      </c>
      <c r="B16" s="2">
        <v>1.506660197</v>
      </c>
    </row>
    <row r="21" spans="1:14" ht="15.75" thickBot="1" x14ac:dyDescent="0.3"/>
    <row r="22" spans="1:14" x14ac:dyDescent="0.25">
      <c r="B22" s="94" t="s">
        <v>824</v>
      </c>
      <c r="C22" s="94" t="s">
        <v>182</v>
      </c>
      <c r="D22" s="94" t="s">
        <v>805</v>
      </c>
      <c r="E22" s="94" t="s">
        <v>812</v>
      </c>
      <c r="F22" s="94" t="s">
        <v>830</v>
      </c>
      <c r="G22" s="94" t="s">
        <v>870</v>
      </c>
      <c r="H22" s="94" t="s">
        <v>887</v>
      </c>
      <c r="I22" s="94" t="s">
        <v>892</v>
      </c>
      <c r="J22" s="94" t="s">
        <v>1017</v>
      </c>
    </row>
    <row r="23" spans="1:14" ht="15.75" thickBot="1" x14ac:dyDescent="0.3">
      <c r="A23" s="88" t="s">
        <v>197</v>
      </c>
      <c r="B23" s="1">
        <v>9842.568679</v>
      </c>
      <c r="C23" s="1">
        <v>27153.159241000001</v>
      </c>
      <c r="D23" s="1">
        <v>14115.240419</v>
      </c>
      <c r="E23" s="1">
        <v>13420.174457000001</v>
      </c>
      <c r="F23" s="1">
        <v>19810.376046000001</v>
      </c>
      <c r="G23" s="1">
        <f>'[2]uj_hitelek_publi_millió Ft'!$B$83+'[2]uj_hitelek_publi_millió Ft'!$B$179+'[2]uj_hitelek_publi_millió Ft'!$J$179</f>
        <v>5716.6316519999991</v>
      </c>
      <c r="H23" s="1">
        <f>'[8]uj_hitelek_publi_millió Ft'!$B$83+'[8]uj_hitelek_publi_millió Ft'!$B$179+'[8]uj_hitelek_publi_millió Ft'!$J$179</f>
        <v>14847.378151000001</v>
      </c>
      <c r="I23" s="1">
        <f>14.357921686*1000</f>
        <v>14357.921686</v>
      </c>
      <c r="J23" s="1">
        <f>10.937059279*1000</f>
        <v>10937.059278999999</v>
      </c>
    </row>
    <row r="24" spans="1:14" ht="15.75" thickBot="1" x14ac:dyDescent="0.3">
      <c r="A24" s="88" t="s">
        <v>198</v>
      </c>
      <c r="B24" s="1">
        <v>11745.728394</v>
      </c>
      <c r="C24" s="1">
        <v>59386.500510999991</v>
      </c>
      <c r="D24" s="1">
        <v>20869.988265</v>
      </c>
      <c r="E24" s="1">
        <v>12937.471728</v>
      </c>
      <c r="F24" s="1">
        <v>12593.507099</v>
      </c>
      <c r="G24" s="1">
        <f>'[2]uj_hitelek_publi_millió Ft'!$C$179+'[2]uj_hitelek_publi_millió Ft'!$K$179</f>
        <v>12417.69298</v>
      </c>
      <c r="H24" s="1">
        <f>'[8]uj_hitelek_publi_millió Ft'!$C$83+'[8]uj_hitelek_publi_millió Ft'!$C$179+'[8]uj_hitelek_publi_millió Ft'!$K$179</f>
        <v>9729.8449020000007</v>
      </c>
      <c r="I24" s="1">
        <f>2.111937581*1000</f>
        <v>2111.9375809999997</v>
      </c>
      <c r="J24" s="1">
        <f>3.591843014*1000</f>
        <v>3591.843014</v>
      </c>
    </row>
    <row r="25" spans="1:14" ht="15.75" thickBot="1" x14ac:dyDescent="0.3">
      <c r="A25" s="88" t="s">
        <v>199</v>
      </c>
      <c r="B25" s="1">
        <v>32861.185713999999</v>
      </c>
      <c r="C25" s="1">
        <v>37753.004472000001</v>
      </c>
      <c r="D25" s="1">
        <v>63236.351332000006</v>
      </c>
      <c r="E25" s="1">
        <v>46856.010649000003</v>
      </c>
      <c r="F25" s="1">
        <v>34294.267074000003</v>
      </c>
      <c r="G25" s="1">
        <f>'[2]uj_hitelek_publi_millió Ft'!$E$83+'[2]uj_hitelek_publi_millió Ft'!$E$179+'[2]uj_hitelek_publi_millió Ft'!$F$179</f>
        <v>21748.366978999999</v>
      </c>
      <c r="H25" s="1">
        <f>'[8]uj_hitelek_publi_millió Ft'!$E$83+'[8]uj_hitelek_publi_millió Ft'!$F$83+'[8]uj_hitelek_publi_millió Ft'!$E$179+'[8]uj_hitelek_publi_millió Ft'!$F$179+'[8]uj_hitelek_publi_millió Ft'!$L$179</f>
        <v>64001.425122999994</v>
      </c>
      <c r="I25" s="1">
        <f>52.972601299*1000</f>
        <v>52972.601298999994</v>
      </c>
      <c r="J25" s="1">
        <f>48.320961952*1000</f>
        <v>48320.961951999998</v>
      </c>
    </row>
    <row r="26" spans="1:14" ht="15.75" thickBot="1" x14ac:dyDescent="0.3">
      <c r="A26" s="88" t="s">
        <v>196</v>
      </c>
      <c r="B26" s="1">
        <v>969.99516900000003</v>
      </c>
      <c r="C26" s="1">
        <v>12032.030018999998</v>
      </c>
      <c r="D26" s="1">
        <v>8837.5875530000012</v>
      </c>
      <c r="E26" s="1">
        <v>15183.056731000001</v>
      </c>
      <c r="F26" s="1">
        <v>123.130779</v>
      </c>
      <c r="G26" s="1">
        <f>'[2]uj_hitelek_publi_millió Ft'!$H$83+'[2]uj_hitelek_publi_millió Ft'!$H$179+'[2]uj_hitelek_publi_millió Ft'!$M$179</f>
        <v>411.44032100000004</v>
      </c>
      <c r="H26" s="1">
        <f>'[8]uj_hitelek_publi_millió Ft'!$H$83+'[8]uj_hitelek_publi_millió Ft'!$H$179+'[8]uj_hitelek_publi_millió Ft'!$M$179</f>
        <v>2281.745758</v>
      </c>
      <c r="I26" s="1">
        <f>3.42042291*1000</f>
        <v>3420.4229100000002</v>
      </c>
      <c r="J26" s="1">
        <f>1.506660197*1000</f>
        <v>1506.6601969999999</v>
      </c>
      <c r="N26" s="1"/>
    </row>
    <row r="27" spans="1:14" x14ac:dyDescent="0.25">
      <c r="A27" s="108" t="s">
        <v>121</v>
      </c>
      <c r="B27" s="106">
        <f>SUM(B23:B26)</f>
        <v>55419.477956000002</v>
      </c>
      <c r="C27" s="106">
        <f t="shared" ref="C27:E27" si="4">SUM(C23:C26)</f>
        <v>136324.69424300001</v>
      </c>
      <c r="D27" s="106">
        <f t="shared" si="4"/>
        <v>107059.16756900001</v>
      </c>
      <c r="E27" s="106">
        <f t="shared" si="4"/>
        <v>88396.713565000013</v>
      </c>
      <c r="F27" s="106">
        <f>SUM(F23:F26)</f>
        <v>66821.280998000002</v>
      </c>
      <c r="G27" s="106">
        <f>SUM(G23:G26)</f>
        <v>40294.131932000004</v>
      </c>
      <c r="H27" s="106">
        <f>SUM(H23:H26)</f>
        <v>90860.393933999992</v>
      </c>
      <c r="I27" s="106">
        <f>72.862883476*1000</f>
        <v>72862.883475999988</v>
      </c>
      <c r="J27" s="106">
        <f>64.356524442*1000</f>
        <v>64356.524441999994</v>
      </c>
      <c r="L27" s="2">
        <f>64356.524442/1000</f>
        <v>64.356524442000008</v>
      </c>
      <c r="N27" s="1"/>
    </row>
    <row r="28" spans="1:14" x14ac:dyDescent="0.25">
      <c r="N28" s="1"/>
    </row>
    <row r="29" spans="1:14" ht="15.75" thickBot="1" x14ac:dyDescent="0.3">
      <c r="N29" s="1"/>
    </row>
    <row r="30" spans="1:14" x14ac:dyDescent="0.25">
      <c r="B30" s="94" t="s">
        <v>824</v>
      </c>
      <c r="C30" s="94" t="s">
        <v>182</v>
      </c>
      <c r="D30" s="94" t="s">
        <v>805</v>
      </c>
      <c r="E30" s="94" t="s">
        <v>812</v>
      </c>
      <c r="F30" s="94" t="s">
        <v>830</v>
      </c>
      <c r="G30" s="94" t="s">
        <v>870</v>
      </c>
      <c r="H30" s="94" t="s">
        <v>887</v>
      </c>
      <c r="I30" s="94" t="s">
        <v>892</v>
      </c>
      <c r="J30" s="94" t="s">
        <v>1017</v>
      </c>
      <c r="N30" s="106"/>
    </row>
    <row r="31" spans="1:14" ht="15.75" thickBot="1" x14ac:dyDescent="0.3">
      <c r="A31" s="88" t="s">
        <v>189</v>
      </c>
      <c r="B31" s="1">
        <v>15437.057311</v>
      </c>
      <c r="C31" s="1">
        <v>23297.594671999999</v>
      </c>
      <c r="D31" s="1">
        <v>20432.910532000002</v>
      </c>
      <c r="E31" s="1">
        <v>34668.685199</v>
      </c>
      <c r="F31" s="1">
        <v>16246.298825000002</v>
      </c>
      <c r="G31" s="1">
        <v>15277.175030999999</v>
      </c>
      <c r="H31" s="1">
        <f>16.206536644*1000</f>
        <v>16206.536644</v>
      </c>
      <c r="I31" s="1">
        <v>28606.675965000002</v>
      </c>
      <c r="J31" s="1">
        <v>16321.481222999999</v>
      </c>
      <c r="K31" s="86"/>
    </row>
    <row r="32" spans="1:14" ht="15.75" thickBot="1" x14ac:dyDescent="0.3">
      <c r="A32" s="88" t="s">
        <v>190</v>
      </c>
      <c r="B32" s="1">
        <v>7434.3469269999996</v>
      </c>
      <c r="C32" s="1">
        <v>38331.749634</v>
      </c>
      <c r="D32" s="1">
        <v>18941.742966000002</v>
      </c>
      <c r="E32" s="1">
        <v>12689.776320000001</v>
      </c>
      <c r="F32" s="1">
        <v>7602.0786189999999</v>
      </c>
      <c r="G32" s="1">
        <v>13989.408731</v>
      </c>
      <c r="H32" s="1">
        <f>9.776249399*1000</f>
        <v>9776.2493989999984</v>
      </c>
      <c r="I32" s="1">
        <v>17884.210342999999</v>
      </c>
      <c r="J32" s="1">
        <v>12515.886956999999</v>
      </c>
      <c r="L32" s="1">
        <f>J27-J35</f>
        <v>9388.1667039999957</v>
      </c>
    </row>
    <row r="33" spans="1:28" ht="15.75" thickBot="1" x14ac:dyDescent="0.3">
      <c r="A33" s="88" t="s">
        <v>191</v>
      </c>
      <c r="B33" s="1">
        <v>23749.780277999998</v>
      </c>
      <c r="C33" s="1">
        <v>38685.391810000001</v>
      </c>
      <c r="D33" s="1">
        <v>34793.012415999998</v>
      </c>
      <c r="E33" s="1">
        <v>27790.078131000002</v>
      </c>
      <c r="F33" s="1">
        <v>27010.223540999999</v>
      </c>
      <c r="G33" s="1">
        <v>30583.304452999997</v>
      </c>
      <c r="H33" s="1">
        <f>27.87615763*1000</f>
        <v>27876.157630000002</v>
      </c>
      <c r="I33" s="1">
        <v>32190.438802999997</v>
      </c>
      <c r="J33" s="1">
        <v>21490.998930999998</v>
      </c>
      <c r="L33" s="86"/>
    </row>
    <row r="34" spans="1:28" ht="15.75" thickBot="1" x14ac:dyDescent="0.3">
      <c r="A34" s="88" t="s">
        <v>192</v>
      </c>
      <c r="B34" s="1">
        <v>4933.6640439999992</v>
      </c>
      <c r="C34" s="1">
        <v>12431.986946999999</v>
      </c>
      <c r="D34" s="1">
        <v>4295.7151860000004</v>
      </c>
      <c r="E34" s="1">
        <v>4188.9703110000009</v>
      </c>
      <c r="F34" s="1">
        <v>5377.8976510000002</v>
      </c>
      <c r="G34" s="1">
        <v>8476.0896239999984</v>
      </c>
      <c r="H34" s="1">
        <f>1.999114603*1000</f>
        <v>1999.114603</v>
      </c>
      <c r="I34" s="1">
        <v>6560.8916050000007</v>
      </c>
      <c r="J34" s="1">
        <v>4639.9906270000001</v>
      </c>
    </row>
    <row r="35" spans="1:28" x14ac:dyDescent="0.25">
      <c r="A35" s="108" t="s">
        <v>121</v>
      </c>
      <c r="B35" s="106">
        <f>SUM(B31:B34)</f>
        <v>51554.848559999991</v>
      </c>
      <c r="C35" s="106">
        <f t="shared" ref="C35:F35" si="5">SUM(C31:C34)</f>
        <v>112746.723063</v>
      </c>
      <c r="D35" s="106">
        <f t="shared" si="5"/>
        <v>78463.381099999999</v>
      </c>
      <c r="E35" s="106">
        <f t="shared" si="5"/>
        <v>79337.509961000003</v>
      </c>
      <c r="F35" s="106">
        <f t="shared" si="5"/>
        <v>56236.498635999997</v>
      </c>
      <c r="G35" s="106">
        <f>SUM(G31:G34)</f>
        <v>68325.977838999999</v>
      </c>
      <c r="H35" s="106">
        <f>SUM(H31:H34)</f>
        <v>55858.058276000003</v>
      </c>
      <c r="I35" s="106">
        <f>SUM(I31:I34)</f>
        <v>85242.216715999995</v>
      </c>
      <c r="J35" s="106">
        <f>SUM(J31:J34)</f>
        <v>54968.357737999999</v>
      </c>
      <c r="K35" s="86"/>
      <c r="L35" s="2">
        <f>54968.357738/1000</f>
        <v>54.968357738000002</v>
      </c>
    </row>
    <row r="36" spans="1:28" ht="15.75" thickBot="1" x14ac:dyDescent="0.3"/>
    <row r="37" spans="1:28" x14ac:dyDescent="0.25">
      <c r="B37" s="94" t="s">
        <v>824</v>
      </c>
      <c r="C37" s="94" t="s">
        <v>182</v>
      </c>
      <c r="D37" s="94" t="s">
        <v>805</v>
      </c>
      <c r="E37" s="94" t="s">
        <v>812</v>
      </c>
      <c r="F37" s="94" t="s">
        <v>830</v>
      </c>
      <c r="G37" s="94" t="s">
        <v>870</v>
      </c>
      <c r="H37" s="94" t="s">
        <v>887</v>
      </c>
      <c r="I37" s="94" t="s">
        <v>892</v>
      </c>
      <c r="J37" s="94" t="s">
        <v>1017</v>
      </c>
      <c r="L37" s="151" t="s">
        <v>877</v>
      </c>
      <c r="M37" s="151" t="s">
        <v>874</v>
      </c>
      <c r="N37" s="151" t="s">
        <v>878</v>
      </c>
      <c r="O37" s="151" t="s">
        <v>879</v>
      </c>
    </row>
    <row r="38" spans="1:28" ht="15.75" thickBot="1" x14ac:dyDescent="0.3">
      <c r="A38" s="88" t="s">
        <v>200</v>
      </c>
      <c r="B38" s="106">
        <f t="shared" ref="B38:F38" si="6">B27+B35</f>
        <v>106974.326516</v>
      </c>
      <c r="C38" s="106">
        <f t="shared" si="6"/>
        <v>249071.41730600002</v>
      </c>
      <c r="D38" s="106">
        <f t="shared" si="6"/>
        <v>185522.54866900001</v>
      </c>
      <c r="E38" s="106">
        <f t="shared" si="6"/>
        <v>167734.22352600002</v>
      </c>
      <c r="F38" s="106">
        <f t="shared" si="6"/>
        <v>123057.77963400001</v>
      </c>
      <c r="G38" s="106">
        <f>G27+G35</f>
        <v>108620.109771</v>
      </c>
      <c r="H38" s="106">
        <f>H27+H35</f>
        <v>146718.45220999999</v>
      </c>
      <c r="I38" s="106">
        <v>158105.10019199998</v>
      </c>
      <c r="J38" s="106">
        <f>J35+J27</f>
        <v>119324.88217999999</v>
      </c>
      <c r="L38" s="93">
        <f>J38/I38*100-100</f>
        <v>-24.528125888985244</v>
      </c>
      <c r="M38" s="93">
        <f>J38/F38*100-100</f>
        <v>-3.0334510057815578</v>
      </c>
      <c r="N38" s="93">
        <f>SUM(J38-I38)/1000</f>
        <v>-38.780218011999999</v>
      </c>
      <c r="O38" s="93">
        <f>SUM(J38-F38)/1000</f>
        <v>-3.7328974540000202</v>
      </c>
    </row>
    <row r="39" spans="1:28" ht="15.75" thickBot="1" x14ac:dyDescent="0.3">
      <c r="I39" s="1"/>
      <c r="L39" s="27"/>
      <c r="M39" s="27"/>
    </row>
    <row r="40" spans="1:28" x14ac:dyDescent="0.25">
      <c r="B40" s="94" t="s">
        <v>824</v>
      </c>
      <c r="C40" s="94" t="s">
        <v>182</v>
      </c>
      <c r="D40" s="94" t="s">
        <v>805</v>
      </c>
      <c r="E40" s="94" t="s">
        <v>812</v>
      </c>
      <c r="F40" s="94" t="s">
        <v>830</v>
      </c>
      <c r="G40" s="94" t="s">
        <v>870</v>
      </c>
      <c r="H40" s="94" t="s">
        <v>887</v>
      </c>
      <c r="I40" s="94" t="s">
        <v>892</v>
      </c>
      <c r="J40" s="94" t="s">
        <v>1017</v>
      </c>
      <c r="Y40" s="151" t="s">
        <v>186</v>
      </c>
      <c r="Z40" s="151" t="s">
        <v>187</v>
      </c>
      <c r="AA40" s="151" t="s">
        <v>188</v>
      </c>
      <c r="AB40" s="151" t="s">
        <v>146</v>
      </c>
    </row>
    <row r="41" spans="1:28" x14ac:dyDescent="0.25">
      <c r="A41" t="s">
        <v>840</v>
      </c>
      <c r="B41" s="2">
        <f t="shared" ref="B41:F41" si="7">B27/B38*100</f>
        <v>51.806334997314508</v>
      </c>
      <c r="C41" s="2">
        <f t="shared" si="7"/>
        <v>54.733174812875653</v>
      </c>
      <c r="D41" s="2">
        <f t="shared" si="7"/>
        <v>57.706822344279885</v>
      </c>
      <c r="E41" s="2">
        <f t="shared" si="7"/>
        <v>52.700463689986258</v>
      </c>
      <c r="F41" s="2">
        <f t="shared" si="7"/>
        <v>54.300736773197677</v>
      </c>
      <c r="G41" s="2">
        <f>G27/G38*100</f>
        <v>37.096382996620719</v>
      </c>
      <c r="H41" s="2">
        <f>H27/H38*100</f>
        <v>61.928402709667594</v>
      </c>
      <c r="I41" s="2">
        <f>I27/I38*100</f>
        <v>46.085093641834838</v>
      </c>
      <c r="J41" s="2">
        <f>J27/J38*100</f>
        <v>53.933867996549992</v>
      </c>
      <c r="K41" s="899" t="s">
        <v>165</v>
      </c>
      <c r="T41" s="1"/>
      <c r="U41" s="1"/>
      <c r="V41" s="1"/>
      <c r="Y41" s="86" t="e">
        <f>V41/U41*100-100</f>
        <v>#DIV/0!</v>
      </c>
      <c r="Z41" s="86">
        <f>V41/E23*100-100</f>
        <v>-100</v>
      </c>
      <c r="AA41" s="86">
        <f>-586/1000</f>
        <v>-0.58599999999999997</v>
      </c>
      <c r="AB41" s="86">
        <f>-18615/1000</f>
        <v>-18.614999999999998</v>
      </c>
    </row>
    <row r="42" spans="1:28" x14ac:dyDescent="0.25">
      <c r="A42" t="s">
        <v>166</v>
      </c>
      <c r="B42" s="2">
        <f t="shared" ref="B42:H42" si="8">B35/B38*100</f>
        <v>48.193665002685485</v>
      </c>
      <c r="C42" s="2">
        <f t="shared" si="8"/>
        <v>45.26682518712434</v>
      </c>
      <c r="D42" s="2">
        <f t="shared" si="8"/>
        <v>42.293177655720122</v>
      </c>
      <c r="E42" s="2">
        <f t="shared" si="8"/>
        <v>47.29953631001375</v>
      </c>
      <c r="F42" s="2">
        <f t="shared" si="8"/>
        <v>45.699263226802316</v>
      </c>
      <c r="G42" s="2">
        <f t="shared" si="8"/>
        <v>62.903617003379289</v>
      </c>
      <c r="H42" s="2">
        <f t="shared" si="8"/>
        <v>38.071597290332413</v>
      </c>
      <c r="I42" s="2">
        <f>I35/I38*100</f>
        <v>53.914906358165162</v>
      </c>
      <c r="J42" s="2">
        <f>J35/J38*100</f>
        <v>46.066132003450015</v>
      </c>
      <c r="K42" s="899" t="s">
        <v>164</v>
      </c>
      <c r="T42" s="1"/>
      <c r="U42" s="1"/>
      <c r="V42" s="1"/>
      <c r="Y42" s="86" t="e">
        <f t="shared" ref="Y42:Y45" si="9">V42/U42*100-100</f>
        <v>#DIV/0!</v>
      </c>
      <c r="Z42" s="86">
        <f>V42/E24*100-100</f>
        <v>-100</v>
      </c>
      <c r="AA42" s="86">
        <f>-2106/1000</f>
        <v>-2.1059999999999999</v>
      </c>
      <c r="AB42" s="86">
        <f>-7801/1000</f>
        <v>-7.8010000000000002</v>
      </c>
    </row>
    <row r="43" spans="1:28" x14ac:dyDescent="0.25">
      <c r="T43" s="1"/>
      <c r="U43" s="1"/>
      <c r="V43" s="1"/>
      <c r="Y43" s="86" t="e">
        <f t="shared" si="9"/>
        <v>#DIV/0!</v>
      </c>
      <c r="Z43" s="86">
        <f>V43/E25*100-100</f>
        <v>-100</v>
      </c>
      <c r="AA43" s="86">
        <f>2570/1000</f>
        <v>2.57</v>
      </c>
      <c r="AB43" s="86">
        <f>1562/1000</f>
        <v>1.5620000000000001</v>
      </c>
    </row>
    <row r="44" spans="1:28" x14ac:dyDescent="0.25">
      <c r="T44" s="1"/>
      <c r="U44" s="1"/>
      <c r="V44" s="1"/>
      <c r="Y44" s="86" t="e">
        <f t="shared" si="9"/>
        <v>#DIV/0!</v>
      </c>
      <c r="Z44" s="86">
        <f>V44/E26*100-100</f>
        <v>-100</v>
      </c>
      <c r="AA44" s="86">
        <f>-4233/1000</f>
        <v>-4.2329999999999997</v>
      </c>
      <c r="AB44" s="86">
        <f>-13005/1000</f>
        <v>-13.005000000000001</v>
      </c>
    </row>
    <row r="45" spans="1:28" x14ac:dyDescent="0.25">
      <c r="T45" s="106"/>
      <c r="U45" s="106"/>
      <c r="V45" s="106"/>
      <c r="Y45" s="93" t="e">
        <f t="shared" si="9"/>
        <v>#DIV/0!</v>
      </c>
      <c r="Z45" s="93">
        <f>V45/E27*100-100</f>
        <v>-100</v>
      </c>
      <c r="AA45" s="93">
        <f>-4233/1000</f>
        <v>-4.2329999999999997</v>
      </c>
      <c r="AB45" s="93">
        <f>-13005/1000</f>
        <v>-13.005000000000001</v>
      </c>
    </row>
    <row r="46" spans="1:28" x14ac:dyDescent="0.25">
      <c r="W46" s="86"/>
    </row>
    <row r="48" spans="1:28" x14ac:dyDescent="0.25">
      <c r="Y48" s="151" t="s">
        <v>186</v>
      </c>
      <c r="Z48" s="151" t="s">
        <v>187</v>
      </c>
      <c r="AA48" s="151" t="s">
        <v>188</v>
      </c>
      <c r="AB48" s="151" t="s">
        <v>146</v>
      </c>
    </row>
    <row r="49" spans="20:28" x14ac:dyDescent="0.25">
      <c r="T49" s="1"/>
      <c r="U49" s="1"/>
      <c r="V49" s="1"/>
      <c r="Y49" s="86" t="e">
        <f>V49/U49*100-100</f>
        <v>#DIV/0!</v>
      </c>
      <c r="Z49" s="86">
        <f>V49/E31*100-100</f>
        <v>-100</v>
      </c>
      <c r="AA49" s="1">
        <f>V49-U49</f>
        <v>0</v>
      </c>
      <c r="AB49" s="1">
        <f>V49-E31</f>
        <v>-34668.685199</v>
      </c>
    </row>
    <row r="50" spans="20:28" x14ac:dyDescent="0.25">
      <c r="T50" s="1"/>
      <c r="U50" s="1"/>
      <c r="V50" s="1"/>
      <c r="Y50" s="86" t="e">
        <f>V50/U50*100-100</f>
        <v>#DIV/0!</v>
      </c>
      <c r="Z50" s="86">
        <f>V50/E32*100-100</f>
        <v>-100</v>
      </c>
      <c r="AA50" s="1">
        <f>V50-U50</f>
        <v>0</v>
      </c>
      <c r="AB50" s="1">
        <f>V50-E32</f>
        <v>-12689.776320000001</v>
      </c>
    </row>
    <row r="51" spans="20:28" x14ac:dyDescent="0.25">
      <c r="T51" s="1"/>
      <c r="U51" s="1"/>
      <c r="V51" s="1"/>
      <c r="Y51" s="86" t="e">
        <f>V51/U51*100-100</f>
        <v>#DIV/0!</v>
      </c>
      <c r="Z51" s="86">
        <f>V51/E33*100-100</f>
        <v>-100</v>
      </c>
      <c r="AA51" s="1">
        <f>V51-U51</f>
        <v>0</v>
      </c>
      <c r="AB51" s="1">
        <f>V51-E33</f>
        <v>-27790.078131000002</v>
      </c>
    </row>
    <row r="52" spans="20:28" x14ac:dyDescent="0.25">
      <c r="T52" s="1"/>
      <c r="U52" s="1"/>
      <c r="V52" s="1"/>
      <c r="Y52" s="86" t="e">
        <f>V52/U52*100-100</f>
        <v>#DIV/0!</v>
      </c>
      <c r="Z52" s="86">
        <f>V52/E34*100-100</f>
        <v>-100</v>
      </c>
      <c r="AA52" s="1">
        <f>V52-U52</f>
        <v>0</v>
      </c>
      <c r="AB52" s="1">
        <f>V52-E34</f>
        <v>-4188.9703110000009</v>
      </c>
    </row>
    <row r="53" spans="20:28" x14ac:dyDescent="0.25">
      <c r="T53" s="106"/>
      <c r="U53" s="106"/>
      <c r="V53" s="106"/>
      <c r="Y53" s="93" t="e">
        <f>V53/U53*100-100</f>
        <v>#DIV/0!</v>
      </c>
      <c r="Z53" s="93">
        <f>V53/E35*100-100</f>
        <v>-100</v>
      </c>
      <c r="AA53" s="106">
        <f>V53-U53</f>
        <v>0</v>
      </c>
      <c r="AB53" s="106">
        <f>V53-E35</f>
        <v>-79337.509961000003</v>
      </c>
    </row>
    <row r="55" spans="20:28" x14ac:dyDescent="0.25">
      <c r="Y55" s="151" t="s">
        <v>186</v>
      </c>
      <c r="Z55" s="151" t="s">
        <v>187</v>
      </c>
      <c r="AA55" s="151" t="s">
        <v>188</v>
      </c>
      <c r="AB55" s="151" t="s">
        <v>146</v>
      </c>
    </row>
    <row r="56" spans="20:28" x14ac:dyDescent="0.25">
      <c r="T56" s="106"/>
      <c r="U56" s="106"/>
      <c r="V56" s="106"/>
      <c r="Y56" s="86" t="e">
        <f>V56/U56*100-100</f>
        <v>#DIV/0!</v>
      </c>
      <c r="Z56" s="86">
        <f>V56/E38*100-100</f>
        <v>-100</v>
      </c>
      <c r="AA56" s="86">
        <f>1750/1000</f>
        <v>1.75</v>
      </c>
      <c r="AB56" s="86">
        <f>-40778/1000</f>
        <v>-40.777999999999999</v>
      </c>
    </row>
    <row r="59" spans="20:28" x14ac:dyDescent="0.25">
      <c r="T59" s="2"/>
      <c r="U59" s="2"/>
      <c r="V59" s="2"/>
    </row>
    <row r="60" spans="20:28" x14ac:dyDescent="0.25">
      <c r="T60" s="2"/>
      <c r="U60" s="2"/>
      <c r="V60" s="2"/>
    </row>
  </sheetData>
  <sortState ref="A13:B16">
    <sortCondition descending="1" ref="B13:B16"/>
  </sortState>
  <mergeCells count="1">
    <mergeCell ref="A1:I1"/>
  </mergeCells>
  <pageMargins left="0.7" right="0.7" top="0.75" bottom="0.75" header="0.3" footer="0.3"/>
  <pageSetup paperSize="9" orientation="portrait" r:id="rId1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G5:S9"/>
  <sheetViews>
    <sheetView workbookViewId="0">
      <selection activeCell="M29" sqref="M29"/>
    </sheetView>
  </sheetViews>
  <sheetFormatPr defaultRowHeight="15" x14ac:dyDescent="0.25"/>
  <sheetData>
    <row r="5" spans="7:19" ht="15.75" thickBot="1" x14ac:dyDescent="0.3"/>
    <row r="6" spans="7:19" ht="15.75" thickBot="1" x14ac:dyDescent="0.3">
      <c r="H6" s="1079" t="s">
        <v>846</v>
      </c>
      <c r="I6" s="1080"/>
      <c r="J6" s="1080"/>
      <c r="K6" s="1080"/>
      <c r="L6" s="1080"/>
      <c r="M6" s="1080"/>
      <c r="N6" s="1080"/>
      <c r="O6" s="1080"/>
      <c r="P6" s="1081"/>
    </row>
    <row r="7" spans="7:19" ht="15.75" thickBot="1" x14ac:dyDescent="0.3">
      <c r="H7" s="1051" t="s">
        <v>824</v>
      </c>
      <c r="I7" s="1052" t="s">
        <v>182</v>
      </c>
      <c r="J7" s="1052" t="s">
        <v>803</v>
      </c>
      <c r="K7" s="1052" t="s">
        <v>812</v>
      </c>
      <c r="L7" s="1052" t="s">
        <v>826</v>
      </c>
      <c r="M7" s="1052" t="s">
        <v>870</v>
      </c>
      <c r="N7" s="1052" t="s">
        <v>887</v>
      </c>
      <c r="O7" s="1052" t="s">
        <v>892</v>
      </c>
      <c r="P7" s="1053" t="s">
        <v>1017</v>
      </c>
      <c r="R7" s="1054" t="s">
        <v>832</v>
      </c>
      <c r="S7" s="1054" t="s">
        <v>175</v>
      </c>
    </row>
    <row r="8" spans="7:19" x14ac:dyDescent="0.25">
      <c r="G8" s="1050" t="s">
        <v>1056</v>
      </c>
      <c r="H8" s="1">
        <v>16778</v>
      </c>
      <c r="I8" s="1">
        <v>16660</v>
      </c>
      <c r="J8" s="1">
        <v>16511</v>
      </c>
      <c r="K8" s="1">
        <v>17888</v>
      </c>
      <c r="L8" s="1">
        <v>17549</v>
      </c>
      <c r="M8" s="1">
        <v>19843</v>
      </c>
      <c r="N8" s="1">
        <v>20510</v>
      </c>
      <c r="O8" s="1">
        <v>13560</v>
      </c>
      <c r="P8" s="1">
        <v>13219</v>
      </c>
      <c r="R8" s="2">
        <f>P8/O8*100-100</f>
        <v>-2.5147492625368812</v>
      </c>
      <c r="S8" s="2">
        <f>P8/L8*100-100</f>
        <v>-24.673770585218534</v>
      </c>
    </row>
    <row r="9" spans="7:19" x14ac:dyDescent="0.25">
      <c r="G9" s="1050" t="s">
        <v>1057</v>
      </c>
      <c r="H9" s="1">
        <v>3927</v>
      </c>
      <c r="I9" s="1">
        <v>3921</v>
      </c>
      <c r="J9" s="1">
        <v>3882</v>
      </c>
      <c r="K9" s="1">
        <v>4700</v>
      </c>
      <c r="L9" s="1">
        <v>4760</v>
      </c>
      <c r="M9" s="1">
        <v>5376</v>
      </c>
      <c r="N9" s="1">
        <v>5492</v>
      </c>
      <c r="O9" s="1">
        <v>3437</v>
      </c>
      <c r="P9" s="1">
        <v>3410</v>
      </c>
      <c r="R9" s="2">
        <f>P9/O9*100-100</f>
        <v>-0.78556881000872636</v>
      </c>
      <c r="S9" s="2">
        <f>P9/L9*100-100</f>
        <v>-28.361344537815128</v>
      </c>
    </row>
  </sheetData>
  <mergeCells count="1">
    <mergeCell ref="H6:P6"/>
  </mergeCells>
  <pageMargins left="0.7" right="0.7" top="0.75" bottom="0.75" header="0.3" footer="0.3"/>
  <drawing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A38"/>
  <sheetViews>
    <sheetView zoomScaleNormal="100" workbookViewId="0">
      <selection activeCell="S4" sqref="S4:T7"/>
    </sheetView>
  </sheetViews>
  <sheetFormatPr defaultRowHeight="15" x14ac:dyDescent="0.25"/>
  <cols>
    <col min="2" max="2" width="48.85546875" bestFit="1" customWidth="1"/>
    <col min="16" max="16" width="9.140625" customWidth="1"/>
    <col min="27" max="27" width="15.7109375" bestFit="1" customWidth="1"/>
  </cols>
  <sheetData>
    <row r="1" spans="2:27" ht="15.75" thickBot="1" x14ac:dyDescent="0.3">
      <c r="C1" s="1084" t="s">
        <v>846</v>
      </c>
      <c r="D1" s="1085"/>
      <c r="E1" s="1085"/>
      <c r="F1" s="1085"/>
      <c r="G1" s="1085"/>
      <c r="H1" s="1085"/>
      <c r="I1" s="1085"/>
      <c r="J1" s="1085"/>
      <c r="K1" s="1085"/>
      <c r="L1" s="1085"/>
      <c r="M1" s="1085"/>
      <c r="N1" s="1085"/>
      <c r="O1" s="1085"/>
      <c r="P1" s="1085"/>
      <c r="Q1" s="1085"/>
      <c r="R1" s="1085"/>
      <c r="S1" s="1085"/>
      <c r="T1" s="1085"/>
    </row>
    <row r="2" spans="2:27" x14ac:dyDescent="0.25">
      <c r="B2" s="1086"/>
      <c r="C2" s="1082" t="s">
        <v>824</v>
      </c>
      <c r="D2" s="1083"/>
      <c r="E2" s="1082" t="s">
        <v>182</v>
      </c>
      <c r="F2" s="1083"/>
      <c r="G2" s="1082" t="s">
        <v>803</v>
      </c>
      <c r="H2" s="1083"/>
      <c r="I2" s="1082" t="s">
        <v>812</v>
      </c>
      <c r="J2" s="1083"/>
      <c r="K2" s="1082" t="s">
        <v>826</v>
      </c>
      <c r="L2" s="1083"/>
      <c r="M2" s="1082" t="s">
        <v>870</v>
      </c>
      <c r="N2" s="1083"/>
      <c r="O2" s="1082" t="s">
        <v>887</v>
      </c>
      <c r="P2" s="1083"/>
      <c r="Q2" s="1082" t="s">
        <v>892</v>
      </c>
      <c r="R2" s="1083"/>
      <c r="S2" s="1082" t="s">
        <v>1017</v>
      </c>
      <c r="T2" s="1083"/>
    </row>
    <row r="3" spans="2:27" x14ac:dyDescent="0.25">
      <c r="B3" s="1087"/>
      <c r="C3" s="879" t="s">
        <v>119</v>
      </c>
      <c r="D3" s="879" t="s">
        <v>253</v>
      </c>
      <c r="E3" s="879" t="s">
        <v>119</v>
      </c>
      <c r="F3" s="879" t="s">
        <v>253</v>
      </c>
      <c r="G3" s="879" t="s">
        <v>119</v>
      </c>
      <c r="H3" s="879" t="s">
        <v>253</v>
      </c>
      <c r="I3" s="879" t="s">
        <v>119</v>
      </c>
      <c r="J3" s="879" t="s">
        <v>253</v>
      </c>
      <c r="K3" s="879" t="s">
        <v>119</v>
      </c>
      <c r="L3" s="879" t="s">
        <v>253</v>
      </c>
      <c r="M3" s="879" t="s">
        <v>119</v>
      </c>
      <c r="N3" s="879" t="s">
        <v>253</v>
      </c>
      <c r="O3" s="879" t="s">
        <v>119</v>
      </c>
      <c r="P3" s="879" t="s">
        <v>253</v>
      </c>
      <c r="Q3" s="879" t="s">
        <v>119</v>
      </c>
      <c r="R3" s="879" t="s">
        <v>253</v>
      </c>
      <c r="S3" s="879" t="s">
        <v>119</v>
      </c>
      <c r="T3" s="879" t="s">
        <v>253</v>
      </c>
      <c r="W3" s="1049" t="s">
        <v>899</v>
      </c>
      <c r="X3" s="1049" t="s">
        <v>900</v>
      </c>
      <c r="AA3" s="1049" t="s">
        <v>1015</v>
      </c>
    </row>
    <row r="4" spans="2:27" x14ac:dyDescent="0.25">
      <c r="B4" s="878" t="s">
        <v>862</v>
      </c>
      <c r="C4" s="880">
        <v>8925</v>
      </c>
      <c r="D4" s="880">
        <v>2471</v>
      </c>
      <c r="E4" s="880">
        <v>8888</v>
      </c>
      <c r="F4" s="880">
        <v>2471</v>
      </c>
      <c r="G4" s="880">
        <v>8863</v>
      </c>
      <c r="H4" s="880">
        <v>2466</v>
      </c>
      <c r="I4" s="880">
        <v>8800</v>
      </c>
      <c r="J4" s="880">
        <v>2390</v>
      </c>
      <c r="K4" s="880">
        <v>8630</v>
      </c>
      <c r="L4" s="880">
        <v>2365</v>
      </c>
      <c r="M4" s="880">
        <f>[2]allomanyi_adatok_ugyfelszam_db!$B$48+[2]allomanyi_adatok_ugyfelszam_db!$J$48</f>
        <v>8609</v>
      </c>
      <c r="N4" s="880">
        <f>[2]allomanyi_adatok_ugyfelszam_db!$B$144+[2]allomanyi_adatok_ugyfelszam_db!$J$144</f>
        <v>2347</v>
      </c>
      <c r="O4" s="880">
        <f>[8]allomanyi_adatok_ugyfelszam_db!$B$48+[8]allomanyi_adatok_ugyfelszam_db!$J$48</f>
        <v>8507</v>
      </c>
      <c r="P4" s="880">
        <f>[8]allomanyi_adatok_ugyfelszam_db!$B$144+[8]allomanyi_adatok_ugyfelszam_db!$J$144</f>
        <v>2325</v>
      </c>
      <c r="Q4" s="880">
        <f>[13]allomanyi_adatok_ugyfelszam_db!$B$48+[13]allomanyi_adatok_ugyfelszam_db!$J$48</f>
        <v>8234</v>
      </c>
      <c r="R4" s="880">
        <f>[13]allomanyi_adatok_ugyfelszam_db!$B$144+[13]allomanyi_adatok_ugyfelszam_db!$J$144</f>
        <v>2247</v>
      </c>
      <c r="S4" s="880">
        <f>SUM(allomanyi_adatok_ugyfélszám_db!B48+allomanyi_adatok_ugyfélszám_db!J48)</f>
        <v>7973</v>
      </c>
      <c r="T4" s="880">
        <f>SUM(allomanyi_adatok_ugyfélszám_db!B144+allomanyi_adatok_ugyfélszám_db!J144)</f>
        <v>2228</v>
      </c>
      <c r="V4" s="1">
        <f>T4+S4</f>
        <v>10201</v>
      </c>
      <c r="W4" s="2">
        <f>S4/V4*100</f>
        <v>78.15900401921381</v>
      </c>
      <c r="X4" s="2">
        <f>T4/V4*100</f>
        <v>21.8409959807862</v>
      </c>
      <c r="AA4" s="86">
        <f>360707.85778</f>
        <v>360707.85778000002</v>
      </c>
    </row>
    <row r="5" spans="2:27" x14ac:dyDescent="0.25">
      <c r="B5" s="878" t="s">
        <v>863</v>
      </c>
      <c r="C5" s="880">
        <v>1021</v>
      </c>
      <c r="D5" s="880">
        <v>885</v>
      </c>
      <c r="E5" s="880">
        <v>924</v>
      </c>
      <c r="F5" s="880">
        <v>929</v>
      </c>
      <c r="G5" s="880">
        <v>944</v>
      </c>
      <c r="H5" s="880">
        <v>941</v>
      </c>
      <c r="I5" s="880">
        <v>820</v>
      </c>
      <c r="J5" s="880">
        <v>947</v>
      </c>
      <c r="K5" s="880">
        <v>735</v>
      </c>
      <c r="L5" s="880">
        <v>899</v>
      </c>
      <c r="M5" s="880">
        <f>[2]allomanyi_adatok_ugyfelszam_db!$C$48+[2]allomanyi_adatok_ugyfelszam_db!$K$48</f>
        <v>697</v>
      </c>
      <c r="N5" s="880">
        <f>[2]allomanyi_adatok_ugyfelszam_db!$C$144+[2]allomanyi_adatok_ugyfelszam_db!$K$144</f>
        <v>880</v>
      </c>
      <c r="O5" s="880">
        <f>[8]allomanyi_adatok_ugyfelszam_db!$C$48+[8]allomanyi_adatok_ugyfelszam_db!$K$48</f>
        <v>704</v>
      </c>
      <c r="P5" s="880">
        <f>[8]allomanyi_adatok_ugyfelszam_db!$C$144+[8]allomanyi_adatok_ugyfelszam_db!$K$144</f>
        <v>871</v>
      </c>
      <c r="Q5" s="880">
        <f>[13]allomanyi_adatok_ugyfelszam_db!$C$48+[13]allomanyi_adatok_ugyfelszam_db!$K$48</f>
        <v>638</v>
      </c>
      <c r="R5" s="880">
        <f>[13]allomanyi_adatok_ugyfelszam_db!$C$144+[13]allomanyi_adatok_ugyfelszam_db!$K$144</f>
        <v>821</v>
      </c>
      <c r="S5" s="880">
        <f>SUM(allomanyi_adatok_ugyfélszám_db!C48+allomanyi_adatok_ugyfélszám_db!K48)</f>
        <v>631</v>
      </c>
      <c r="T5" s="880">
        <f>SUM(allomanyi_adatok_ugyfélszám_db!C144+allomanyi_adatok_ugyfélszám_db!K144)</f>
        <v>773</v>
      </c>
      <c r="V5" s="1">
        <f>T5+S5</f>
        <v>1404</v>
      </c>
      <c r="W5" s="2">
        <f>S5/V5*100</f>
        <v>44.943019943019941</v>
      </c>
      <c r="X5" s="2">
        <f>T5/V5*100</f>
        <v>55.056980056980052</v>
      </c>
      <c r="AA5" s="86">
        <f>640485.239701</f>
        <v>640485.23970100004</v>
      </c>
    </row>
    <row r="6" spans="2:27" x14ac:dyDescent="0.25">
      <c r="B6" s="878" t="s">
        <v>864</v>
      </c>
      <c r="C6" s="880">
        <v>9866</v>
      </c>
      <c r="D6" s="880">
        <v>2681</v>
      </c>
      <c r="E6" s="880">
        <v>9790</v>
      </c>
      <c r="F6" s="880">
        <v>2660</v>
      </c>
      <c r="G6" s="880">
        <v>9736</v>
      </c>
      <c r="H6" s="880">
        <v>2607</v>
      </c>
      <c r="I6" s="880">
        <v>9522</v>
      </c>
      <c r="J6" s="880">
        <v>2645</v>
      </c>
      <c r="K6" s="880">
        <v>9579</v>
      </c>
      <c r="L6" s="880">
        <v>2688</v>
      </c>
      <c r="M6" s="880">
        <f>[2]allomanyi_adatok_ugyfelszam_db!$E$48+[2]allomanyi_adatok_ugyfelszam_db!$F$48+[2]allomanyi_adatok_ugyfelszam_db!$L$48</f>
        <v>13460</v>
      </c>
      <c r="N6" s="880">
        <f>[2]allomanyi_adatok_ugyfelszam_db!$E$144+[2]allomanyi_adatok_ugyfelszam_db!$F$144+[2]allomanyi_adatok_ugyfelszam_db!$L$144</f>
        <v>3629</v>
      </c>
      <c r="O6" s="880">
        <f>[8]allomanyi_adatok_ugyfelszam_db!$E$48+[8]allomanyi_adatok_ugyfelszam_db!$F$48+[8]allomanyi_adatok_ugyfelszam_db!$L$48</f>
        <v>14840</v>
      </c>
      <c r="P6" s="880">
        <f>[8]allomanyi_adatok_ugyfelszam_db!$E$144+[8]allomanyi_adatok_ugyfelszam_db!$F$144+[8]allomanyi_adatok_ugyfelszam_db!$L$144</f>
        <v>3939</v>
      </c>
      <c r="Q6" s="880">
        <f>[13]allomanyi_adatok_ugyfelszam_db!$E$48+[13]allomanyi_adatok_ugyfelszam_db!$F$48+[13]allomanyi_adatok_ugyfelszam_db!$L$48</f>
        <v>7251</v>
      </c>
      <c r="R6" s="880">
        <f>[13]allomanyi_adatok_ugyfelszam_db!$E$144+[13]allomanyi_adatok_ugyfelszam_db!$F$144+[13]allomanyi_adatok_ugyfelszam_db!$L$144</f>
        <v>2251</v>
      </c>
      <c r="S6" s="880">
        <f>SUM(allomanyi_adatok_ugyfélszám_db!E48+allomanyi_adatok_ugyfélszám_db!F48+allomanyi_adatok_ugyfélszám_db!L48)</f>
        <v>7225</v>
      </c>
      <c r="T6" s="880">
        <f>SUM(allomanyi_adatok_ugyfélszám_db!E144+allomanyi_adatok_ugyfélszám_db!F144+allomanyi_adatok_ugyfélszám_db!L144)</f>
        <v>2268</v>
      </c>
      <c r="V6" s="1">
        <f>T6+S6</f>
        <v>9493</v>
      </c>
      <c r="W6" s="2">
        <f>S6/V6*100</f>
        <v>76.108711682292224</v>
      </c>
      <c r="X6" s="2">
        <f>T6/V6*100</f>
        <v>23.891288317707783</v>
      </c>
      <c r="AA6" s="86">
        <f>1001193.097481</f>
        <v>1001193.097481</v>
      </c>
    </row>
    <row r="7" spans="2:27" x14ac:dyDescent="0.25">
      <c r="B7" s="878" t="s">
        <v>865</v>
      </c>
      <c r="C7" s="880">
        <v>2160</v>
      </c>
      <c r="D7" s="880">
        <v>874</v>
      </c>
      <c r="E7" s="880">
        <v>2195</v>
      </c>
      <c r="F7" s="880">
        <v>839</v>
      </c>
      <c r="G7" s="880">
        <v>2045</v>
      </c>
      <c r="H7" s="880">
        <v>802</v>
      </c>
      <c r="I7" s="880">
        <v>3986</v>
      </c>
      <c r="J7" s="880">
        <v>2145</v>
      </c>
      <c r="K7" s="880">
        <v>4176</v>
      </c>
      <c r="L7" s="880">
        <v>2260</v>
      </c>
      <c r="M7" s="880">
        <f>[2]allomanyi_adatok_ugyfelszam_db!$H$48+[2]allomanyi_adatok_ugyfelszam_db!$M$48</f>
        <v>4856</v>
      </c>
      <c r="N7" s="880">
        <f>[2]allomanyi_adatok_ugyfelszam_db!$H$144+[2]allomanyi_adatok_ugyfelszam_db!$M$144</f>
        <v>2426</v>
      </c>
      <c r="O7" s="880">
        <f>[8]allomanyi_adatok_ugyfelszam_db!$H$48+[8]allomanyi_adatok_ugyfelszam_db!$M$48</f>
        <v>5221</v>
      </c>
      <c r="P7" s="880">
        <f>[8]allomanyi_adatok_ugyfelszam_db!$H$144+[8]allomanyi_adatok_ugyfelszam_db!$M$144</f>
        <v>2438</v>
      </c>
      <c r="Q7" s="880">
        <f>[13]allomanyi_adatok_ugyfelszam_db!$H$48+[13]allomanyi_adatok_ugyfelszam_db!$M$48</f>
        <v>1892</v>
      </c>
      <c r="R7" s="880">
        <f>[13]allomanyi_adatok_ugyfelszam_db!$H$144+[13]allomanyi_adatok_ugyfelszam_db!$M$144</f>
        <v>641</v>
      </c>
      <c r="S7" s="880">
        <f>SUM(allomanyi_adatok_ugyfélszám_db!H48+allomanyi_adatok_ugyfélszám_db!M48)</f>
        <v>1739</v>
      </c>
      <c r="T7" s="880">
        <f>SUM(allomanyi_adatok_ugyfélszám_db!H144+allomanyi_adatok_ugyfélszám_db!M144)</f>
        <v>631</v>
      </c>
      <c r="V7" s="1">
        <f>T7+S7</f>
        <v>2370</v>
      </c>
      <c r="W7" s="2">
        <f>S7/V7*100</f>
        <v>73.375527426160332</v>
      </c>
      <c r="X7" s="2">
        <f>T7/V7*100</f>
        <v>26.624472573839665</v>
      </c>
    </row>
    <row r="8" spans="2:27" x14ac:dyDescent="0.25">
      <c r="C8" s="1"/>
      <c r="O8" s="1">
        <f t="shared" ref="O8:T8" si="0">SUM(O4:O7)</f>
        <v>29272</v>
      </c>
      <c r="P8" s="1">
        <f t="shared" si="0"/>
        <v>9573</v>
      </c>
      <c r="Q8" s="1">
        <f t="shared" si="0"/>
        <v>18015</v>
      </c>
      <c r="R8" s="1">
        <f t="shared" si="0"/>
        <v>5960</v>
      </c>
      <c r="S8" s="1">
        <f t="shared" si="0"/>
        <v>17568</v>
      </c>
      <c r="T8" s="1">
        <f t="shared" si="0"/>
        <v>5900</v>
      </c>
      <c r="V8" s="106">
        <f>SUM(V4:V7)</f>
        <v>23468</v>
      </c>
      <c r="W8" s="2">
        <f>S8/V8*100</f>
        <v>74.859382989602864</v>
      </c>
      <c r="X8" s="2">
        <f>T8/V8*100</f>
        <v>25.140617010397136</v>
      </c>
      <c r="AA8" s="2">
        <f>AA4/AA6*100</f>
        <v>36.027801099262504</v>
      </c>
    </row>
    <row r="9" spans="2:27" ht="15.75" thickBot="1" x14ac:dyDescent="0.3">
      <c r="C9" s="1088" t="s">
        <v>857</v>
      </c>
      <c r="D9" s="1089"/>
      <c r="E9" s="1089"/>
      <c r="F9" s="1089"/>
      <c r="G9" s="1089"/>
      <c r="H9" s="1089"/>
      <c r="I9" s="1089"/>
      <c r="J9" s="1089"/>
      <c r="K9" s="1089"/>
      <c r="L9" s="1089"/>
      <c r="M9" s="1089"/>
      <c r="N9" s="1089"/>
      <c r="O9" s="1089"/>
      <c r="P9" s="1089"/>
      <c r="Q9" s="2">
        <f>Q8/R10*100</f>
        <v>75.140771637122</v>
      </c>
      <c r="R9" s="2">
        <f>R8/R10*100</f>
        <v>24.859228362877996</v>
      </c>
      <c r="S9" s="2">
        <f>S8/Q8*100-100</f>
        <v>-2.4812656119900112</v>
      </c>
      <c r="T9" s="2">
        <f>T8/R8*100-100</f>
        <v>-1.0067114093959759</v>
      </c>
      <c r="AA9" s="2">
        <f>AA5/AA6*100</f>
        <v>63.972198900737496</v>
      </c>
    </row>
    <row r="10" spans="2:27" x14ac:dyDescent="0.25">
      <c r="B10" s="1086" t="s">
        <v>845</v>
      </c>
      <c r="C10" s="1082" t="s">
        <v>824</v>
      </c>
      <c r="D10" s="1083"/>
      <c r="E10" s="1082" t="s">
        <v>182</v>
      </c>
      <c r="F10" s="1083"/>
      <c r="G10" s="1082" t="s">
        <v>803</v>
      </c>
      <c r="H10" s="1083"/>
      <c r="I10" s="1082" t="s">
        <v>812</v>
      </c>
      <c r="J10" s="1083"/>
      <c r="K10" s="1082" t="s">
        <v>830</v>
      </c>
      <c r="L10" s="1083"/>
      <c r="M10" s="1082" t="s">
        <v>870</v>
      </c>
      <c r="N10" s="1083"/>
      <c r="O10" s="1082" t="s">
        <v>887</v>
      </c>
      <c r="P10" s="1083"/>
      <c r="R10" s="106">
        <f>Q8+R8</f>
        <v>23975</v>
      </c>
      <c r="V10" s="2">
        <f>V8/R10*100-100</f>
        <v>-2.1147028154327501</v>
      </c>
    </row>
    <row r="11" spans="2:27" x14ac:dyDescent="0.25">
      <c r="B11" s="1087"/>
      <c r="C11" s="879" t="s">
        <v>119</v>
      </c>
      <c r="D11" s="879" t="s">
        <v>253</v>
      </c>
      <c r="E11" s="879" t="s">
        <v>119</v>
      </c>
      <c r="F11" s="879" t="s">
        <v>253</v>
      </c>
      <c r="G11" s="879" t="s">
        <v>119</v>
      </c>
      <c r="H11" s="879" t="s">
        <v>253</v>
      </c>
      <c r="I11" s="879" t="s">
        <v>119</v>
      </c>
      <c r="J11" s="879" t="s">
        <v>253</v>
      </c>
      <c r="K11" s="879" t="s">
        <v>119</v>
      </c>
      <c r="L11" s="879" t="s">
        <v>253</v>
      </c>
      <c r="M11" s="879" t="s">
        <v>119</v>
      </c>
      <c r="N11" s="879" t="s">
        <v>253</v>
      </c>
      <c r="O11" s="879" t="s">
        <v>119</v>
      </c>
      <c r="P11" s="879" t="s">
        <v>253</v>
      </c>
      <c r="R11" s="100"/>
      <c r="T11" t="s">
        <v>901</v>
      </c>
      <c r="U11" t="s">
        <v>902</v>
      </c>
    </row>
    <row r="12" spans="2:27" x14ac:dyDescent="0.25">
      <c r="B12" s="878" t="s">
        <v>847</v>
      </c>
      <c r="C12" s="880">
        <v>15375</v>
      </c>
      <c r="D12" s="880">
        <v>6280</v>
      </c>
      <c r="E12" s="880">
        <v>15328</v>
      </c>
      <c r="F12" s="880">
        <v>6308</v>
      </c>
      <c r="G12" s="880">
        <v>15311</v>
      </c>
      <c r="H12" s="880">
        <v>6249</v>
      </c>
      <c r="I12" s="880">
        <v>14875</v>
      </c>
      <c r="J12" s="880">
        <v>6038</v>
      </c>
      <c r="K12" s="880">
        <v>14930</v>
      </c>
      <c r="L12" s="880">
        <v>5920</v>
      </c>
      <c r="M12" s="880"/>
      <c r="N12" s="880"/>
      <c r="O12" s="880"/>
      <c r="P12" s="880"/>
      <c r="T12" s="2">
        <f>Q8/O8*100-100</f>
        <v>-38.456545504236125</v>
      </c>
      <c r="U12" s="2">
        <f>R8/P8*100-100</f>
        <v>-37.741564817716501</v>
      </c>
    </row>
    <row r="13" spans="2:27" x14ac:dyDescent="0.25">
      <c r="B13" s="878" t="s">
        <v>848</v>
      </c>
      <c r="C13" s="880">
        <v>1194</v>
      </c>
      <c r="D13" s="880">
        <v>1337</v>
      </c>
      <c r="E13" s="880">
        <v>1046</v>
      </c>
      <c r="F13" s="880">
        <v>1381</v>
      </c>
      <c r="G13" s="880">
        <v>1070</v>
      </c>
      <c r="H13" s="880">
        <v>1387</v>
      </c>
      <c r="I13" s="880">
        <v>924</v>
      </c>
      <c r="J13" s="880">
        <v>1398</v>
      </c>
      <c r="K13" s="880">
        <v>848</v>
      </c>
      <c r="L13" s="880">
        <v>1315</v>
      </c>
      <c r="M13" s="880"/>
      <c r="N13" s="880"/>
      <c r="O13" s="880"/>
      <c r="P13" s="880"/>
    </row>
    <row r="14" spans="2:27" x14ac:dyDescent="0.25">
      <c r="B14" s="878" t="s">
        <v>849</v>
      </c>
      <c r="C14" s="880">
        <v>10274</v>
      </c>
      <c r="D14" s="880">
        <v>4092</v>
      </c>
      <c r="E14" s="880">
        <v>10103</v>
      </c>
      <c r="F14" s="880">
        <v>3915</v>
      </c>
      <c r="G14" s="880">
        <v>10459</v>
      </c>
      <c r="H14" s="880">
        <v>3587</v>
      </c>
      <c r="I14" s="880">
        <v>10326</v>
      </c>
      <c r="J14" s="880">
        <v>3550</v>
      </c>
      <c r="K14" s="880">
        <v>10288</v>
      </c>
      <c r="L14" s="880">
        <v>3897</v>
      </c>
      <c r="M14" s="880"/>
      <c r="N14" s="880"/>
      <c r="O14" s="880"/>
      <c r="P14" s="880"/>
    </row>
    <row r="15" spans="2:27" x14ac:dyDescent="0.25">
      <c r="B15" s="878" t="s">
        <v>850</v>
      </c>
      <c r="C15" s="880">
        <v>3088</v>
      </c>
      <c r="D15" s="880">
        <v>1484</v>
      </c>
      <c r="E15" s="880">
        <v>3178</v>
      </c>
      <c r="F15" s="880">
        <v>1532</v>
      </c>
      <c r="G15" s="880">
        <v>3015</v>
      </c>
      <c r="H15" s="880">
        <v>1402</v>
      </c>
      <c r="I15" s="880">
        <v>5093</v>
      </c>
      <c r="J15" s="880">
        <v>2953</v>
      </c>
      <c r="K15" s="880">
        <v>5482</v>
      </c>
      <c r="L15" s="880">
        <v>3123</v>
      </c>
      <c r="M15" s="880"/>
      <c r="N15" s="880"/>
      <c r="O15" s="880"/>
      <c r="P15" s="880"/>
    </row>
    <row r="20" spans="25:25" x14ac:dyDescent="0.25">
      <c r="Y20" t="s">
        <v>1055</v>
      </c>
    </row>
    <row r="38" spans="3:3" x14ac:dyDescent="0.25">
      <c r="C38" s="100"/>
    </row>
  </sheetData>
  <mergeCells count="20">
    <mergeCell ref="M10:N10"/>
    <mergeCell ref="C9:P9"/>
    <mergeCell ref="O10:P10"/>
    <mergeCell ref="I10:J10"/>
    <mergeCell ref="K10:L10"/>
    <mergeCell ref="B2:B3"/>
    <mergeCell ref="B10:B11"/>
    <mergeCell ref="C10:D10"/>
    <mergeCell ref="E10:F10"/>
    <mergeCell ref="G10:H10"/>
    <mergeCell ref="C2:D2"/>
    <mergeCell ref="E2:F2"/>
    <mergeCell ref="G2:H2"/>
    <mergeCell ref="S2:T2"/>
    <mergeCell ref="C1:T1"/>
    <mergeCell ref="I2:J2"/>
    <mergeCell ref="K2:L2"/>
    <mergeCell ref="Q2:R2"/>
    <mergeCell ref="M2:N2"/>
    <mergeCell ref="O2:P2"/>
  </mergeCells>
  <pageMargins left="0.7" right="0.7" top="0.75" bottom="0.75" header="0.3" footer="0.3"/>
  <pageSetup paperSize="9" orientation="portrait" r:id="rId1"/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H4:T9"/>
  <sheetViews>
    <sheetView workbookViewId="0">
      <selection activeCell="Y12" sqref="Y12"/>
    </sheetView>
  </sheetViews>
  <sheetFormatPr defaultRowHeight="15" x14ac:dyDescent="0.25"/>
  <cols>
    <col min="19" max="19" width="15.42578125" bestFit="1" customWidth="1"/>
    <col min="20" max="20" width="12.28515625" bestFit="1" customWidth="1"/>
  </cols>
  <sheetData>
    <row r="4" spans="8:20" ht="15.75" thickBot="1" x14ac:dyDescent="0.3"/>
    <row r="5" spans="8:20" ht="15.75" thickBot="1" x14ac:dyDescent="0.3">
      <c r="I5" s="1090" t="s">
        <v>851</v>
      </c>
      <c r="J5" s="1091"/>
      <c r="K5" s="1091"/>
      <c r="L5" s="1091"/>
      <c r="M5" s="1091"/>
      <c r="N5" s="1091"/>
      <c r="O5" s="1091"/>
      <c r="P5" s="1091"/>
      <c r="Q5" s="1092"/>
    </row>
    <row r="6" spans="8:20" ht="15.75" thickBot="1" x14ac:dyDescent="0.3">
      <c r="I6" s="1051" t="s">
        <v>824</v>
      </c>
      <c r="J6" s="1052" t="s">
        <v>182</v>
      </c>
      <c r="K6" s="1052" t="s">
        <v>803</v>
      </c>
      <c r="L6" s="1052" t="s">
        <v>812</v>
      </c>
      <c r="M6" s="1052" t="s">
        <v>826</v>
      </c>
      <c r="N6" s="1052" t="s">
        <v>870</v>
      </c>
      <c r="O6" s="1052" t="s">
        <v>887</v>
      </c>
      <c r="P6" s="1052" t="s">
        <v>892</v>
      </c>
      <c r="Q6" s="1053" t="s">
        <v>1017</v>
      </c>
      <c r="S6" s="1055" t="s">
        <v>814</v>
      </c>
      <c r="T6" s="1055" t="s">
        <v>813</v>
      </c>
    </row>
    <row r="7" spans="8:20" x14ac:dyDescent="0.25">
      <c r="H7" s="1050" t="s">
        <v>1056</v>
      </c>
      <c r="I7" s="1">
        <v>314</v>
      </c>
      <c r="J7" s="1">
        <v>307</v>
      </c>
      <c r="K7" s="1">
        <v>301</v>
      </c>
      <c r="L7" s="1">
        <v>390</v>
      </c>
      <c r="M7" s="1">
        <v>389</v>
      </c>
      <c r="N7" s="1">
        <v>473</v>
      </c>
      <c r="O7" s="1">
        <v>487</v>
      </c>
      <c r="P7" s="1">
        <v>259</v>
      </c>
      <c r="Q7" s="1">
        <v>251</v>
      </c>
      <c r="S7" s="2">
        <f>Q7/P7*100-100</f>
        <v>-3.0888030888030897</v>
      </c>
      <c r="T7" s="2">
        <f>Q7/M7*100-100</f>
        <v>-35.47557840616966</v>
      </c>
    </row>
    <row r="8" spans="8:20" x14ac:dyDescent="0.25">
      <c r="H8" s="1050" t="s">
        <v>1057</v>
      </c>
      <c r="I8" s="1">
        <v>1793</v>
      </c>
      <c r="J8" s="1">
        <v>1807</v>
      </c>
      <c r="K8" s="1">
        <v>1777</v>
      </c>
      <c r="L8" s="1">
        <v>2330</v>
      </c>
      <c r="M8" s="1">
        <v>2355</v>
      </c>
      <c r="N8" s="1">
        <v>2695</v>
      </c>
      <c r="O8" s="1">
        <v>2723</v>
      </c>
      <c r="P8" s="1">
        <v>1612</v>
      </c>
      <c r="Q8" s="1">
        <v>1588</v>
      </c>
      <c r="S8" s="2">
        <f>Q8/P8*100-100</f>
        <v>-1.4888337468982655</v>
      </c>
      <c r="T8" s="2">
        <f>Q8/M8*100-100</f>
        <v>-32.569002123142255</v>
      </c>
    </row>
    <row r="9" spans="8:20" x14ac:dyDescent="0.25">
      <c r="M9" s="106">
        <f>SUM(M7:M8)</f>
        <v>2744</v>
      </c>
      <c r="P9" s="106">
        <f>SUM(P7:P8)</f>
        <v>1871</v>
      </c>
      <c r="Q9" s="106">
        <f>SUM(Q7:Q8)</f>
        <v>1839</v>
      </c>
      <c r="S9" s="167">
        <f>Q9/P9*100-100</f>
        <v>-1.7103153393907036</v>
      </c>
      <c r="T9" s="167">
        <f>Q9/M9*100-100</f>
        <v>-32.981049562682216</v>
      </c>
    </row>
  </sheetData>
  <mergeCells count="1">
    <mergeCell ref="I5:Q5"/>
  </mergeCells>
  <pageMargins left="0.7" right="0.7" top="0.75" bottom="0.75" header="0.3" footer="0.3"/>
  <pageSetup paperSize="9" orientation="portrait" r:id="rId1"/>
  <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2:Y29"/>
  <sheetViews>
    <sheetView tabSelected="1" topLeftCell="D1" zoomScale="115" zoomScaleNormal="115" workbookViewId="0">
      <selection activeCell="T5" sqref="T5:U8"/>
    </sheetView>
  </sheetViews>
  <sheetFormatPr defaultRowHeight="15" x14ac:dyDescent="0.25"/>
  <cols>
    <col min="3" max="3" width="48.85546875" bestFit="1" customWidth="1"/>
    <col min="12" max="12" width="9.140625" customWidth="1"/>
    <col min="23" max="23" width="13.28515625" bestFit="1" customWidth="1"/>
    <col min="25" max="25" width="10" bestFit="1" customWidth="1"/>
  </cols>
  <sheetData>
    <row r="2" spans="3:25" ht="15.75" thickBot="1" x14ac:dyDescent="0.3">
      <c r="D2" s="1093" t="s">
        <v>851</v>
      </c>
      <c r="E2" s="1094"/>
      <c r="F2" s="1094"/>
      <c r="G2" s="1094"/>
      <c r="H2" s="1094"/>
      <c r="I2" s="1094"/>
      <c r="J2" s="1094"/>
      <c r="K2" s="1094"/>
      <c r="L2" s="1094"/>
      <c r="M2" s="1094"/>
      <c r="N2" s="1094"/>
      <c r="O2" s="1094"/>
      <c r="P2" s="1094"/>
      <c r="Q2" s="1094"/>
      <c r="R2" s="1094"/>
      <c r="S2" s="1094"/>
      <c r="T2" s="1094"/>
      <c r="U2" s="1094"/>
    </row>
    <row r="3" spans="3:25" x14ac:dyDescent="0.25">
      <c r="C3" s="1086" t="s">
        <v>845</v>
      </c>
      <c r="D3" s="1082" t="s">
        <v>824</v>
      </c>
      <c r="E3" s="1083"/>
      <c r="F3" s="1082" t="s">
        <v>182</v>
      </c>
      <c r="G3" s="1083"/>
      <c r="H3" s="1082" t="s">
        <v>803</v>
      </c>
      <c r="I3" s="1083"/>
      <c r="J3" s="1082" t="s">
        <v>812</v>
      </c>
      <c r="K3" s="1083"/>
      <c r="L3" s="1082" t="s">
        <v>826</v>
      </c>
      <c r="M3" s="1083"/>
      <c r="N3" s="1082" t="s">
        <v>870</v>
      </c>
      <c r="O3" s="1083"/>
      <c r="P3" s="1082" t="s">
        <v>887</v>
      </c>
      <c r="Q3" s="1083"/>
      <c r="R3" s="1082" t="s">
        <v>892</v>
      </c>
      <c r="S3" s="1083"/>
      <c r="T3" s="1082" t="s">
        <v>1017</v>
      </c>
      <c r="U3" s="1083"/>
    </row>
    <row r="4" spans="3:25" x14ac:dyDescent="0.25">
      <c r="C4" s="1087"/>
      <c r="D4" s="879" t="s">
        <v>119</v>
      </c>
      <c r="E4" s="879" t="s">
        <v>253</v>
      </c>
      <c r="F4" s="879" t="s">
        <v>119</v>
      </c>
      <c r="G4" s="879" t="s">
        <v>253</v>
      </c>
      <c r="H4" s="879" t="s">
        <v>119</v>
      </c>
      <c r="I4" s="879" t="s">
        <v>253</v>
      </c>
      <c r="J4" s="879" t="s">
        <v>119</v>
      </c>
      <c r="K4" s="879" t="s">
        <v>253</v>
      </c>
      <c r="L4" s="879" t="s">
        <v>119</v>
      </c>
      <c r="M4" s="879" t="s">
        <v>253</v>
      </c>
      <c r="N4" s="879" t="s">
        <v>119</v>
      </c>
      <c r="O4" s="879" t="s">
        <v>253</v>
      </c>
      <c r="P4" s="879" t="s">
        <v>119</v>
      </c>
      <c r="Q4" s="879" t="s">
        <v>253</v>
      </c>
      <c r="R4" s="879" t="s">
        <v>119</v>
      </c>
      <c r="S4" s="879" t="s">
        <v>253</v>
      </c>
      <c r="T4" s="879" t="s">
        <v>119</v>
      </c>
      <c r="U4" s="879" t="s">
        <v>253</v>
      </c>
      <c r="W4" s="879" t="s">
        <v>119</v>
      </c>
      <c r="X4" s="879" t="s">
        <v>253</v>
      </c>
      <c r="Y4" s="879" t="s">
        <v>1015</v>
      </c>
    </row>
    <row r="5" spans="3:25" x14ac:dyDescent="0.25">
      <c r="C5" s="878" t="s">
        <v>858</v>
      </c>
      <c r="D5" s="880">
        <v>112</v>
      </c>
      <c r="E5" s="880">
        <v>1045</v>
      </c>
      <c r="F5" s="880">
        <v>106</v>
      </c>
      <c r="G5" s="880">
        <v>1056</v>
      </c>
      <c r="H5" s="880">
        <v>103</v>
      </c>
      <c r="I5" s="880">
        <v>1051</v>
      </c>
      <c r="J5" s="880">
        <v>107</v>
      </c>
      <c r="K5" s="880">
        <v>1040</v>
      </c>
      <c r="L5" s="880">
        <v>109</v>
      </c>
      <c r="M5" s="880">
        <v>1040</v>
      </c>
      <c r="N5" s="880">
        <f>[2]allomanyi_adatok_ugyfelszam_db!$B$83</f>
        <v>108</v>
      </c>
      <c r="O5" s="880">
        <f>[2]allomanyi_adatok_ugyfelszam_db!$B$179+[2]allomanyi_adatok_ugyfelszam_db!$J$179</f>
        <v>1035</v>
      </c>
      <c r="P5" s="880">
        <f>[8]allomanyi_adatok_ugyfelszam_db!$B$83+[8]allomanyi_adatok_ugyfelszam_db!$J$83</f>
        <v>108</v>
      </c>
      <c r="Q5" s="880">
        <f>[8]allomanyi_adatok_ugyfelszam_db!$B$179+[8]allomanyi_adatok_ugyfelszam_db!$J$179</f>
        <v>1018</v>
      </c>
      <c r="R5" s="880">
        <f>[13]allomanyi_adatok_ugyfelszam_db!$B$83+[13]allomanyi_adatok_ugyfelszam_db!$J$83</f>
        <v>110</v>
      </c>
      <c r="S5" s="880">
        <f>[13]allomanyi_adatok_ugyfelszam_db!$B$179+[13]allomanyi_adatok_ugyfelszam_db!$J$179</f>
        <v>988</v>
      </c>
      <c r="T5" s="880">
        <f>SUM(allomanyi_adatok_ugyfélszám_db!B83+allomanyi_adatok_ugyfélszám_db!J83)</f>
        <v>121</v>
      </c>
      <c r="U5" s="880">
        <f>SUM(allomanyi_adatok_ugyfélszám_db!B179+allomanyi_adatok_ugyfélszám_db!J179)</f>
        <v>970</v>
      </c>
      <c r="W5" s="2"/>
      <c r="Y5" s="86">
        <v>5050.8842459999996</v>
      </c>
    </row>
    <row r="6" spans="3:25" x14ac:dyDescent="0.25">
      <c r="C6" s="878" t="s">
        <v>859</v>
      </c>
      <c r="D6" s="880">
        <v>27</v>
      </c>
      <c r="E6" s="880">
        <v>611</v>
      </c>
      <c r="F6" s="880">
        <v>26</v>
      </c>
      <c r="G6" s="880">
        <v>623</v>
      </c>
      <c r="H6" s="880">
        <v>32</v>
      </c>
      <c r="I6" s="880">
        <v>626</v>
      </c>
      <c r="J6" s="880">
        <v>30</v>
      </c>
      <c r="K6" s="880">
        <v>613</v>
      </c>
      <c r="L6" s="880">
        <v>31</v>
      </c>
      <c r="M6" s="880">
        <v>579</v>
      </c>
      <c r="N6" s="880">
        <f>[2]allomanyi_adatok_ugyfelszam_db!$C$83</f>
        <v>26</v>
      </c>
      <c r="O6" s="880">
        <f>[2]allomanyi_adatok_ugyfelszam_db!$C$179+[2]allomanyi_adatok_ugyfelszam_db!$K$179</f>
        <v>557</v>
      </c>
      <c r="P6" s="880">
        <f>[8]allomanyi_adatok_ugyfelszam_db!$C$83+[8]allomanyi_adatok_ugyfelszam_db!$K$83</f>
        <v>28</v>
      </c>
      <c r="Q6" s="880">
        <f>[8]allomanyi_adatok_ugyfelszam_db!$C$179+[8]allomanyi_adatok_ugyfelszam_db!$K$179</f>
        <v>545</v>
      </c>
      <c r="R6" s="880">
        <f>[13]allomanyi_adatok_ugyfelszam_db!$C$83+[13]allomanyi_adatok_ugyfelszam_db!$K$83</f>
        <v>31</v>
      </c>
      <c r="S6" s="880">
        <f>[13]allomanyi_adatok_ugyfelszam_db!$C$179+[13]allomanyi_adatok_ugyfelszam_db!$K$179</f>
        <v>517</v>
      </c>
      <c r="T6" s="880">
        <f>SUM(allomanyi_adatok_ugyfélszám_db!C83+allomanyi_adatok_ugyfélszám_db!K83)</f>
        <v>33</v>
      </c>
      <c r="U6" s="880">
        <f>SUM(allomanyi_adatok_ugyfélszám_db!C179+allomanyi_adatok_ugyfélszám_db!K179)</f>
        <v>470</v>
      </c>
      <c r="W6" s="2"/>
      <c r="Y6" s="86">
        <v>705549.79263499996</v>
      </c>
    </row>
    <row r="7" spans="3:25" x14ac:dyDescent="0.25">
      <c r="C7" s="878" t="s">
        <v>860</v>
      </c>
      <c r="D7" s="880">
        <v>205</v>
      </c>
      <c r="E7" s="880">
        <v>1258</v>
      </c>
      <c r="F7" s="880">
        <v>199</v>
      </c>
      <c r="G7" s="880">
        <v>1264</v>
      </c>
      <c r="H7" s="880">
        <v>192</v>
      </c>
      <c r="I7" s="880">
        <v>1237</v>
      </c>
      <c r="J7" s="880">
        <v>193</v>
      </c>
      <c r="K7" s="880">
        <v>1283</v>
      </c>
      <c r="L7" s="880">
        <v>192</v>
      </c>
      <c r="M7" s="880">
        <v>1284</v>
      </c>
      <c r="N7" s="880">
        <f>[2]allomanyi_adatok_ugyfelszam_db!$E$83+[2]allomanyi_adatok_ugyfelszam_db!$F$83+[2]allomanyi_adatok_ugyfelszam_db!$L$83</f>
        <v>299</v>
      </c>
      <c r="O7" s="880">
        <f>[2]allomanyi_adatok_ugyfelszam_db!$E$179+[2]allomanyi_adatok_ugyfelszam_db!$F$179+[2]allomanyi_adatok_ugyfelszam_db!$L$179</f>
        <v>1730</v>
      </c>
      <c r="P7" s="880">
        <f>[8]allomanyi_adatok_ugyfelszam_db!$E$83+[8]allomanyi_adatok_ugyfelszam_db!$F$83+[8]allomanyi_adatok_ugyfelszam_db!$L$83</f>
        <v>336</v>
      </c>
      <c r="Q7" s="880">
        <f>[8]allomanyi_adatok_ugyfelszam_db!$E$179+[8]allomanyi_adatok_ugyfelszam_db!$F$179+[8]allomanyi_adatok_ugyfelszam_db!$L$179</f>
        <v>1804</v>
      </c>
      <c r="R7" s="880">
        <f>[13]allomanyi_adatok_ugyfelszam_db!$E$83+[13]allomanyi_adatok_ugyfelszam_db!$F$83+[13]allomanyi_adatok_ugyfelszam_db!$L$83</f>
        <v>158</v>
      </c>
      <c r="S7" s="880">
        <f>[13]allomanyi_adatok_ugyfelszam_db!$E$179+[13]allomanyi_adatok_ugyfelszam_db!$F$179+[13]allomanyi_adatok_ugyfelszam_db!$L$179</f>
        <v>1087</v>
      </c>
      <c r="T7" s="880">
        <f>SUM(allomanyi_adatok_ugyfélszám_db!E83+allomanyi_adatok_ugyfélszám_db!F83+allomanyi_adatok_ugyfélszám_db!L83)</f>
        <v>150</v>
      </c>
      <c r="U7" s="880">
        <f>SUM(allomanyi_adatok_ugyfélszám_db!E179+allomanyi_adatok_ugyfélszám_db!F179+allomanyi_adatok_ugyfélszám_db!L179)</f>
        <v>1116</v>
      </c>
      <c r="W7" s="2"/>
      <c r="Y7" s="93">
        <v>710600.67688099993</v>
      </c>
    </row>
    <row r="8" spans="3:25" x14ac:dyDescent="0.25">
      <c r="C8" s="878" t="s">
        <v>861</v>
      </c>
      <c r="D8" s="880">
        <v>61</v>
      </c>
      <c r="E8" s="880">
        <v>396</v>
      </c>
      <c r="F8" s="880">
        <v>61</v>
      </c>
      <c r="G8" s="880">
        <v>365</v>
      </c>
      <c r="H8" s="880">
        <v>51</v>
      </c>
      <c r="I8" s="880">
        <v>366</v>
      </c>
      <c r="J8" s="880">
        <v>148</v>
      </c>
      <c r="K8" s="880">
        <v>1313</v>
      </c>
      <c r="L8" s="880">
        <v>155</v>
      </c>
      <c r="M8" s="880">
        <v>1372</v>
      </c>
      <c r="N8" s="880">
        <f>[2]allomanyi_adatok_ugyfelszam_db!$H$83+[2]allomanyi_adatok_ugyfelszam_db!$M$83</f>
        <v>173</v>
      </c>
      <c r="O8" s="880">
        <f>[2]allomanyi_adatok_ugyfelszam_db!$H$179+[2]allomanyi_adatok_ugyfelszam_db!$M$179</f>
        <v>1498</v>
      </c>
      <c r="P8" s="880">
        <f>[8]allomanyi_adatok_ugyfelszam_db!$H$83+[8]allomanyi_adatok_ugyfelszam_db!$M$83</f>
        <v>167</v>
      </c>
      <c r="Q8" s="880">
        <f>[8]allomanyi_adatok_ugyfelszam_db!$H$179+[8]allomanyi_adatok_ugyfelszam_db!$M$179</f>
        <v>1512</v>
      </c>
      <c r="R8" s="880">
        <f>[13]allomanyi_adatok_ugyfelszam_db!$H$83+[13]allomanyi_adatok_ugyfelszam_db!$M$83</f>
        <v>32</v>
      </c>
      <c r="S8" s="880">
        <f>[13]allomanyi_adatok_ugyfelszam_db!$H$179+[13]allomanyi_adatok_ugyfelszam_db!$M$179</f>
        <v>217</v>
      </c>
      <c r="T8" s="880">
        <f>SUM(allomanyi_adatok_ugyfélszám_db!H83+allomanyi_adatok_ugyfélszám_db!M83)</f>
        <v>31</v>
      </c>
      <c r="U8" s="880">
        <f>SUM(allomanyi_adatok_ugyfélszám_db!H179+allomanyi_adatok_ugyfélszám_db!M179)</f>
        <v>200</v>
      </c>
      <c r="W8" s="2"/>
    </row>
    <row r="9" spans="3:25" x14ac:dyDescent="0.25">
      <c r="R9" s="1">
        <f>SUM(R5:R8)</f>
        <v>331</v>
      </c>
      <c r="S9" s="1">
        <f>SUM(S5:S8)</f>
        <v>2809</v>
      </c>
      <c r="T9" s="1">
        <f>SUM(T5:T8)</f>
        <v>335</v>
      </c>
      <c r="U9" s="1">
        <f>SUM(U5:U8)</f>
        <v>2756</v>
      </c>
      <c r="V9" s="1">
        <f>SUM(T9:U9)</f>
        <v>3091</v>
      </c>
    </row>
    <row r="10" spans="3:25" ht="15.75" thickBot="1" x14ac:dyDescent="0.3">
      <c r="S10" s="1">
        <f>S9+R9</f>
        <v>3140</v>
      </c>
      <c r="T10" s="2">
        <f>T9/R9*100-100</f>
        <v>1.2084592145015023</v>
      </c>
      <c r="U10" s="2">
        <f>U9/S9*100-100</f>
        <v>-1.8867924528301927</v>
      </c>
      <c r="V10" s="2">
        <f>T9/V9*100</f>
        <v>10.837916531866709</v>
      </c>
      <c r="W10" s="2">
        <f>U9/V9*100</f>
        <v>89.162083468133289</v>
      </c>
    </row>
    <row r="11" spans="3:25" ht="15.75" thickBot="1" x14ac:dyDescent="0.3">
      <c r="D11" s="1095" t="s">
        <v>852</v>
      </c>
      <c r="E11" s="1096"/>
      <c r="F11" s="1096"/>
      <c r="G11" s="1096"/>
      <c r="H11" s="1096"/>
      <c r="I11" s="1096"/>
      <c r="J11" s="1096"/>
      <c r="K11" s="1096"/>
      <c r="L11" s="1096"/>
      <c r="M11" s="1096"/>
      <c r="N11" s="1096"/>
      <c r="O11" s="1096"/>
      <c r="P11" s="1096"/>
      <c r="Q11" s="1097"/>
      <c r="S11">
        <f>R9/S10*100</f>
        <v>10.54140127388535</v>
      </c>
    </row>
    <row r="12" spans="3:25" x14ac:dyDescent="0.25">
      <c r="C12" s="1086" t="s">
        <v>845</v>
      </c>
      <c r="D12" s="1082" t="s">
        <v>824</v>
      </c>
      <c r="E12" s="1083"/>
      <c r="F12" s="1082" t="s">
        <v>182</v>
      </c>
      <c r="G12" s="1083"/>
      <c r="H12" s="1082" t="s">
        <v>803</v>
      </c>
      <c r="I12" s="1083"/>
      <c r="J12" s="1082" t="s">
        <v>812</v>
      </c>
      <c r="K12" s="1083"/>
      <c r="L12" s="1082" t="s">
        <v>830</v>
      </c>
      <c r="M12" s="1083"/>
      <c r="N12" s="1082" t="s">
        <v>870</v>
      </c>
      <c r="O12" s="1083"/>
      <c r="P12" s="1082" t="s">
        <v>887</v>
      </c>
      <c r="Q12" s="1083"/>
    </row>
    <row r="13" spans="3:25" x14ac:dyDescent="0.25">
      <c r="C13" s="1087"/>
      <c r="D13" s="879" t="s">
        <v>119</v>
      </c>
      <c r="E13" s="879" t="s">
        <v>253</v>
      </c>
      <c r="F13" s="879" t="s">
        <v>119</v>
      </c>
      <c r="G13" s="879" t="s">
        <v>253</v>
      </c>
      <c r="H13" s="879" t="s">
        <v>119</v>
      </c>
      <c r="I13" s="879" t="s">
        <v>253</v>
      </c>
      <c r="J13" s="879" t="s">
        <v>119</v>
      </c>
      <c r="K13" s="879" t="s">
        <v>253</v>
      </c>
      <c r="L13" s="879" t="s">
        <v>119</v>
      </c>
      <c r="M13" s="879" t="s">
        <v>253</v>
      </c>
      <c r="N13" s="879" t="s">
        <v>119</v>
      </c>
      <c r="O13" s="879" t="s">
        <v>253</v>
      </c>
      <c r="P13" s="879" t="s">
        <v>119</v>
      </c>
      <c r="Q13" s="879" t="s">
        <v>253</v>
      </c>
    </row>
    <row r="14" spans="3:25" x14ac:dyDescent="0.25">
      <c r="C14" s="878" t="s">
        <v>847</v>
      </c>
      <c r="D14" s="880">
        <v>155</v>
      </c>
      <c r="E14" s="880">
        <v>2493</v>
      </c>
      <c r="F14" s="880">
        <v>147</v>
      </c>
      <c r="G14" s="880">
        <v>2482</v>
      </c>
      <c r="H14" s="880">
        <v>144</v>
      </c>
      <c r="I14" s="880">
        <v>2438</v>
      </c>
      <c r="J14" s="880">
        <v>157</v>
      </c>
      <c r="K14" s="880">
        <v>2380</v>
      </c>
      <c r="L14" s="880">
        <v>160</v>
      </c>
      <c r="M14" s="880">
        <v>2375</v>
      </c>
      <c r="N14" s="880"/>
      <c r="O14" s="880"/>
      <c r="P14" s="880"/>
      <c r="Q14" s="880"/>
    </row>
    <row r="15" spans="3:25" x14ac:dyDescent="0.25">
      <c r="C15" s="878" t="s">
        <v>848</v>
      </c>
      <c r="D15" s="880">
        <v>30</v>
      </c>
      <c r="E15" s="880">
        <v>923</v>
      </c>
      <c r="F15" s="880">
        <v>28</v>
      </c>
      <c r="G15" s="880">
        <v>934</v>
      </c>
      <c r="H15" s="880">
        <v>41</v>
      </c>
      <c r="I15" s="880">
        <v>920</v>
      </c>
      <c r="J15" s="880">
        <v>40</v>
      </c>
      <c r="K15" s="880">
        <v>924</v>
      </c>
      <c r="L15" s="880">
        <v>42</v>
      </c>
      <c r="M15" s="880">
        <v>846</v>
      </c>
      <c r="N15" s="880"/>
      <c r="O15" s="880"/>
      <c r="P15" s="880"/>
      <c r="Q15" s="880"/>
    </row>
    <row r="16" spans="3:25" x14ac:dyDescent="0.25">
      <c r="C16" s="878" t="s">
        <v>849</v>
      </c>
      <c r="D16" s="880">
        <v>215</v>
      </c>
      <c r="E16" s="880">
        <v>8789</v>
      </c>
      <c r="F16" s="880">
        <v>208</v>
      </c>
      <c r="G16" s="880">
        <v>8782</v>
      </c>
      <c r="H16" s="880">
        <v>204</v>
      </c>
      <c r="I16" s="880">
        <v>8763</v>
      </c>
      <c r="J16" s="880">
        <v>199</v>
      </c>
      <c r="K16" s="880">
        <v>7705</v>
      </c>
      <c r="L16" s="880">
        <v>206</v>
      </c>
      <c r="M16" s="880">
        <v>12672</v>
      </c>
      <c r="N16" s="880"/>
      <c r="O16" s="880"/>
      <c r="P16" s="880"/>
      <c r="Q16" s="880"/>
    </row>
    <row r="17" spans="3:17" x14ac:dyDescent="0.25">
      <c r="C17" s="878" t="s">
        <v>850</v>
      </c>
      <c r="D17" s="880">
        <v>87</v>
      </c>
      <c r="E17" s="880">
        <v>2010</v>
      </c>
      <c r="F17" s="880">
        <v>85</v>
      </c>
      <c r="G17" s="880">
        <v>1859</v>
      </c>
      <c r="H17" s="880">
        <v>68</v>
      </c>
      <c r="I17" s="880">
        <v>1887</v>
      </c>
      <c r="J17" s="880">
        <v>159</v>
      </c>
      <c r="K17" s="880">
        <v>5901</v>
      </c>
      <c r="L17" s="880">
        <v>166</v>
      </c>
      <c r="M17" s="880">
        <v>1945</v>
      </c>
      <c r="N17" s="880"/>
      <c r="O17" s="880"/>
      <c r="P17" s="880"/>
      <c r="Q17" s="880"/>
    </row>
    <row r="28" spans="3:17" x14ac:dyDescent="0.25">
      <c r="E28" s="1"/>
    </row>
    <row r="29" spans="3:17" x14ac:dyDescent="0.25">
      <c r="G29" s="1"/>
      <c r="J29" s="1"/>
    </row>
  </sheetData>
  <mergeCells count="20">
    <mergeCell ref="C3:C4"/>
    <mergeCell ref="C12:C13"/>
    <mergeCell ref="D12:E12"/>
    <mergeCell ref="F12:G12"/>
    <mergeCell ref="H12:I12"/>
    <mergeCell ref="D3:E3"/>
    <mergeCell ref="F3:G3"/>
    <mergeCell ref="H3:I3"/>
    <mergeCell ref="T3:U3"/>
    <mergeCell ref="D2:U2"/>
    <mergeCell ref="R3:S3"/>
    <mergeCell ref="P3:Q3"/>
    <mergeCell ref="N12:O12"/>
    <mergeCell ref="P12:Q12"/>
    <mergeCell ref="D11:Q11"/>
    <mergeCell ref="N3:O3"/>
    <mergeCell ref="J12:K12"/>
    <mergeCell ref="L12:M12"/>
    <mergeCell ref="J3:K3"/>
    <mergeCell ref="L3:M3"/>
  </mergeCells>
  <pageMargins left="0.7" right="0.7" top="0.75" bottom="0.75" header="0.3" footer="0.3"/>
  <pageSetup paperSize="9" orientation="portrait" r:id="rId1"/>
  <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200"/>
  <sheetViews>
    <sheetView topLeftCell="B148" zoomScale="85" zoomScaleNormal="85" workbookViewId="0">
      <selection activeCell="A2" sqref="A2:A3"/>
    </sheetView>
  </sheetViews>
  <sheetFormatPr defaultRowHeight="15" x14ac:dyDescent="0.25"/>
  <cols>
    <col min="1" max="1" width="68.5703125" style="905" bestFit="1" customWidth="1"/>
    <col min="2" max="20" width="22.85546875" style="905" customWidth="1"/>
    <col min="21" max="16384" width="9.140625" style="905"/>
  </cols>
  <sheetData>
    <row r="1" spans="1:20" ht="37.5" customHeight="1" x14ac:dyDescent="0.25">
      <c r="A1" s="1070" t="s">
        <v>1050</v>
      </c>
      <c r="B1" s="1057"/>
      <c r="C1" s="1057"/>
      <c r="D1" s="1057"/>
      <c r="E1" s="1057"/>
      <c r="F1" s="1057"/>
      <c r="G1" s="1057"/>
      <c r="H1" s="1057"/>
      <c r="I1" s="1057"/>
      <c r="J1" s="1057"/>
      <c r="K1" s="1057"/>
      <c r="L1" s="1057"/>
      <c r="M1" s="1057"/>
      <c r="N1" s="1057"/>
      <c r="O1" s="1057"/>
      <c r="P1" s="1057"/>
      <c r="Q1" s="1057"/>
      <c r="R1" s="1057"/>
      <c r="S1" s="1057"/>
      <c r="T1" s="1058"/>
    </row>
    <row r="2" spans="1:20" x14ac:dyDescent="0.25">
      <c r="A2" s="1059" t="s">
        <v>493</v>
      </c>
      <c r="B2" s="1061" t="s">
        <v>1051</v>
      </c>
      <c r="C2" s="1062"/>
      <c r="D2" s="1062"/>
      <c r="E2" s="1062"/>
      <c r="F2" s="1062"/>
      <c r="G2" s="1062"/>
      <c r="H2" s="1062"/>
      <c r="I2" s="1063"/>
      <c r="J2" s="1064" t="s">
        <v>1052</v>
      </c>
      <c r="K2" s="1065"/>
      <c r="L2" s="1065"/>
      <c r="M2" s="1065"/>
      <c r="N2" s="1066"/>
      <c r="O2" s="1067" t="s">
        <v>1053</v>
      </c>
      <c r="P2" s="1068"/>
      <c r="Q2" s="1068"/>
      <c r="R2" s="1068"/>
      <c r="S2" s="1068"/>
      <c r="T2" s="1069"/>
    </row>
    <row r="3" spans="1:20" s="909" customFormat="1" ht="60" x14ac:dyDescent="0.25">
      <c r="A3" s="1060"/>
      <c r="B3" s="951" t="s">
        <v>909</v>
      </c>
      <c r="C3" s="951" t="s">
        <v>882</v>
      </c>
      <c r="D3" s="951" t="s">
        <v>910</v>
      </c>
      <c r="E3" s="951" t="s">
        <v>883</v>
      </c>
      <c r="F3" s="951" t="s">
        <v>911</v>
      </c>
      <c r="G3" s="951" t="s">
        <v>912</v>
      </c>
      <c r="H3" s="951" t="s">
        <v>913</v>
      </c>
      <c r="I3" s="951" t="s">
        <v>914</v>
      </c>
      <c r="J3" s="952" t="s">
        <v>640</v>
      </c>
      <c r="K3" s="952" t="s">
        <v>882</v>
      </c>
      <c r="L3" s="952" t="s">
        <v>885</v>
      </c>
      <c r="M3" s="952" t="s">
        <v>913</v>
      </c>
      <c r="N3" s="952" t="s">
        <v>915</v>
      </c>
      <c r="O3" s="953" t="s">
        <v>139</v>
      </c>
      <c r="P3" s="953" t="s">
        <v>916</v>
      </c>
      <c r="Q3" s="953" t="s">
        <v>917</v>
      </c>
      <c r="R3" s="953" t="s">
        <v>918</v>
      </c>
      <c r="S3" s="953" t="s">
        <v>919</v>
      </c>
      <c r="T3" s="953" t="s">
        <v>920</v>
      </c>
    </row>
    <row r="4" spans="1:20" x14ac:dyDescent="0.25">
      <c r="A4" s="910" t="s">
        <v>110</v>
      </c>
      <c r="B4" s="1022">
        <v>4773</v>
      </c>
      <c r="C4" s="1022">
        <v>324</v>
      </c>
      <c r="D4" s="1023">
        <v>3</v>
      </c>
      <c r="E4" s="1022">
        <v>3381</v>
      </c>
      <c r="F4" s="1022">
        <v>306</v>
      </c>
      <c r="G4" s="1023">
        <v>9</v>
      </c>
      <c r="H4" s="1022">
        <v>866</v>
      </c>
      <c r="I4" s="914">
        <v>7396</v>
      </c>
      <c r="J4" s="1022">
        <v>48</v>
      </c>
      <c r="K4" s="1022"/>
      <c r="L4" s="1022">
        <v>1</v>
      </c>
      <c r="M4" s="1022">
        <v>8</v>
      </c>
      <c r="N4" s="914">
        <v>51</v>
      </c>
      <c r="O4" s="914">
        <v>7413</v>
      </c>
      <c r="P4" s="1022">
        <v>2304</v>
      </c>
      <c r="Q4" s="1022">
        <v>6459</v>
      </c>
      <c r="R4" s="1022">
        <v>73</v>
      </c>
      <c r="S4" s="1022">
        <v>81</v>
      </c>
      <c r="T4" s="1022">
        <v>6577</v>
      </c>
    </row>
    <row r="5" spans="1:20" x14ac:dyDescent="0.25">
      <c r="A5" s="917" t="s">
        <v>922</v>
      </c>
      <c r="B5" s="1024">
        <v>4669</v>
      </c>
      <c r="C5" s="1024">
        <v>313</v>
      </c>
      <c r="D5" s="1025">
        <v>3</v>
      </c>
      <c r="E5" s="1024">
        <v>3260</v>
      </c>
      <c r="F5" s="1024">
        <v>291</v>
      </c>
      <c r="G5" s="1025">
        <v>9</v>
      </c>
      <c r="H5" s="1024">
        <v>827</v>
      </c>
      <c r="I5" s="921">
        <v>7186</v>
      </c>
      <c r="J5" s="1024">
        <v>47</v>
      </c>
      <c r="K5" s="1024"/>
      <c r="L5" s="1024">
        <v>1</v>
      </c>
      <c r="M5" s="1024">
        <v>8</v>
      </c>
      <c r="N5" s="921">
        <v>50</v>
      </c>
      <c r="O5" s="922">
        <v>7202</v>
      </c>
      <c r="P5" s="1024">
        <v>2227</v>
      </c>
      <c r="Q5" s="1024">
        <v>6278</v>
      </c>
      <c r="R5" s="1024">
        <v>65</v>
      </c>
      <c r="S5" s="1024">
        <v>80</v>
      </c>
      <c r="T5" s="1026">
        <v>6390</v>
      </c>
    </row>
    <row r="6" spans="1:20" x14ac:dyDescent="0.25">
      <c r="A6" s="917" t="s">
        <v>923</v>
      </c>
      <c r="B6" s="1024">
        <v>4</v>
      </c>
      <c r="C6" s="1024"/>
      <c r="D6" s="1025"/>
      <c r="E6" s="1024">
        <v>1</v>
      </c>
      <c r="F6" s="1024"/>
      <c r="G6" s="1025"/>
      <c r="H6" s="1024"/>
      <c r="I6" s="921">
        <v>4</v>
      </c>
      <c r="J6" s="1024"/>
      <c r="K6" s="1024"/>
      <c r="L6" s="1024"/>
      <c r="M6" s="1024"/>
      <c r="N6" s="921"/>
      <c r="O6" s="922">
        <v>4</v>
      </c>
      <c r="P6" s="1024">
        <v>1</v>
      </c>
      <c r="Q6" s="1024">
        <v>4</v>
      </c>
      <c r="R6" s="1024"/>
      <c r="S6" s="1024"/>
      <c r="T6" s="1026">
        <v>4</v>
      </c>
    </row>
    <row r="7" spans="1:20" x14ac:dyDescent="0.25">
      <c r="A7" s="917" t="s">
        <v>924</v>
      </c>
      <c r="B7" s="1024">
        <v>1</v>
      </c>
      <c r="C7" s="1024"/>
      <c r="D7" s="1025"/>
      <c r="E7" s="1024"/>
      <c r="F7" s="1024"/>
      <c r="G7" s="1025"/>
      <c r="H7" s="1024"/>
      <c r="I7" s="921">
        <v>1</v>
      </c>
      <c r="J7" s="1024"/>
      <c r="K7" s="1024"/>
      <c r="L7" s="1024"/>
      <c r="M7" s="1024"/>
      <c r="N7" s="921"/>
      <c r="O7" s="922">
        <v>1</v>
      </c>
      <c r="P7" s="1024"/>
      <c r="Q7" s="1024">
        <v>1</v>
      </c>
      <c r="R7" s="1024"/>
      <c r="S7" s="1024"/>
      <c r="T7" s="1026">
        <v>1</v>
      </c>
    </row>
    <row r="8" spans="1:20" x14ac:dyDescent="0.25">
      <c r="A8" s="917" t="s">
        <v>925</v>
      </c>
      <c r="B8" s="1024">
        <v>18</v>
      </c>
      <c r="C8" s="1024">
        <v>2</v>
      </c>
      <c r="D8" s="1025"/>
      <c r="E8" s="1024">
        <v>16</v>
      </c>
      <c r="F8" s="1024">
        <v>1</v>
      </c>
      <c r="G8" s="1025"/>
      <c r="H8" s="1024">
        <v>5</v>
      </c>
      <c r="I8" s="921">
        <v>33</v>
      </c>
      <c r="J8" s="1024"/>
      <c r="K8" s="1024"/>
      <c r="L8" s="1024"/>
      <c r="M8" s="1024"/>
      <c r="N8" s="921"/>
      <c r="O8" s="922">
        <v>33</v>
      </c>
      <c r="P8" s="1024">
        <v>16</v>
      </c>
      <c r="Q8" s="1024">
        <v>29</v>
      </c>
      <c r="R8" s="1024"/>
      <c r="S8" s="1024"/>
      <c r="T8" s="1026">
        <v>29</v>
      </c>
    </row>
    <row r="9" spans="1:20" x14ac:dyDescent="0.25">
      <c r="A9" s="917" t="s">
        <v>926</v>
      </c>
      <c r="B9" s="1024">
        <v>2</v>
      </c>
      <c r="C9" s="1024"/>
      <c r="D9" s="1025"/>
      <c r="E9" s="1024">
        <v>1</v>
      </c>
      <c r="F9" s="1024"/>
      <c r="G9" s="1025"/>
      <c r="H9" s="1024"/>
      <c r="I9" s="921">
        <v>3</v>
      </c>
      <c r="J9" s="1024"/>
      <c r="K9" s="1024"/>
      <c r="L9" s="1024"/>
      <c r="M9" s="1024"/>
      <c r="N9" s="921"/>
      <c r="O9" s="922">
        <v>3</v>
      </c>
      <c r="P9" s="1024"/>
      <c r="Q9" s="1024">
        <v>3</v>
      </c>
      <c r="R9" s="1024"/>
      <c r="S9" s="1024"/>
      <c r="T9" s="1026">
        <v>3</v>
      </c>
    </row>
    <row r="10" spans="1:20" x14ac:dyDescent="0.25">
      <c r="A10" s="917" t="s">
        <v>927</v>
      </c>
      <c r="B10" s="1024">
        <v>80</v>
      </c>
      <c r="C10" s="1024">
        <v>9</v>
      </c>
      <c r="D10" s="1025"/>
      <c r="E10" s="1024">
        <v>103</v>
      </c>
      <c r="F10" s="1024">
        <v>14</v>
      </c>
      <c r="G10" s="1025"/>
      <c r="H10" s="1024">
        <v>34</v>
      </c>
      <c r="I10" s="921">
        <v>173</v>
      </c>
      <c r="J10" s="1024">
        <v>1</v>
      </c>
      <c r="K10" s="1024"/>
      <c r="L10" s="1024"/>
      <c r="M10" s="1024"/>
      <c r="N10" s="921">
        <v>1</v>
      </c>
      <c r="O10" s="922">
        <v>174</v>
      </c>
      <c r="P10" s="1024">
        <v>62</v>
      </c>
      <c r="Q10" s="1024">
        <v>148</v>
      </c>
      <c r="R10" s="1024">
        <v>8</v>
      </c>
      <c r="S10" s="1024">
        <v>1</v>
      </c>
      <c r="T10" s="1026">
        <v>154</v>
      </c>
    </row>
    <row r="11" spans="1:20" x14ac:dyDescent="0.25">
      <c r="A11" s="910" t="s">
        <v>928</v>
      </c>
      <c r="B11" s="1022">
        <v>1146</v>
      </c>
      <c r="C11" s="1022">
        <v>116</v>
      </c>
      <c r="D11" s="1023">
        <v>1</v>
      </c>
      <c r="E11" s="1022">
        <v>1216</v>
      </c>
      <c r="F11" s="1022">
        <v>104</v>
      </c>
      <c r="G11" s="1023">
        <v>2</v>
      </c>
      <c r="H11" s="1022">
        <v>281</v>
      </c>
      <c r="I11" s="914">
        <v>2151</v>
      </c>
      <c r="J11" s="1022">
        <v>10</v>
      </c>
      <c r="K11" s="1022"/>
      <c r="L11" s="1022"/>
      <c r="M11" s="1022"/>
      <c r="N11" s="914">
        <v>10</v>
      </c>
      <c r="O11" s="914">
        <v>2153</v>
      </c>
      <c r="P11" s="1022">
        <v>787</v>
      </c>
      <c r="Q11" s="1022">
        <v>1807</v>
      </c>
      <c r="R11" s="1022">
        <v>38</v>
      </c>
      <c r="S11" s="1022">
        <v>17</v>
      </c>
      <c r="T11" s="1022">
        <v>1850</v>
      </c>
    </row>
    <row r="12" spans="1:20" x14ac:dyDescent="0.25">
      <c r="A12" s="917" t="s">
        <v>929</v>
      </c>
      <c r="B12" s="1024">
        <v>155</v>
      </c>
      <c r="C12" s="1024">
        <v>22</v>
      </c>
      <c r="D12" s="1025"/>
      <c r="E12" s="1024">
        <v>166</v>
      </c>
      <c r="F12" s="1024">
        <v>17</v>
      </c>
      <c r="G12" s="1025"/>
      <c r="H12" s="1024">
        <v>46</v>
      </c>
      <c r="I12" s="921">
        <v>289</v>
      </c>
      <c r="J12" s="1024"/>
      <c r="K12" s="1024"/>
      <c r="L12" s="1024"/>
      <c r="M12" s="1024"/>
      <c r="N12" s="921"/>
      <c r="O12" s="922">
        <v>289</v>
      </c>
      <c r="P12" s="1024">
        <v>124</v>
      </c>
      <c r="Q12" s="1024">
        <v>244</v>
      </c>
      <c r="R12" s="1024">
        <v>9</v>
      </c>
      <c r="S12" s="1024">
        <v>2</v>
      </c>
      <c r="T12" s="1026">
        <v>254</v>
      </c>
    </row>
    <row r="13" spans="1:20" x14ac:dyDescent="0.25">
      <c r="A13" s="917" t="s">
        <v>930</v>
      </c>
      <c r="B13" s="1024">
        <v>327</v>
      </c>
      <c r="C13" s="1024">
        <v>34</v>
      </c>
      <c r="D13" s="1025"/>
      <c r="E13" s="1024">
        <v>282</v>
      </c>
      <c r="F13" s="1024">
        <v>42</v>
      </c>
      <c r="G13" s="1025"/>
      <c r="H13" s="1024">
        <v>82</v>
      </c>
      <c r="I13" s="921">
        <v>552</v>
      </c>
      <c r="J13" s="1024">
        <v>4</v>
      </c>
      <c r="K13" s="1024"/>
      <c r="L13" s="1024"/>
      <c r="M13" s="1024"/>
      <c r="N13" s="921">
        <v>4</v>
      </c>
      <c r="O13" s="922">
        <v>553</v>
      </c>
      <c r="P13" s="1024">
        <v>212</v>
      </c>
      <c r="Q13" s="1024">
        <v>483</v>
      </c>
      <c r="R13" s="1024">
        <v>8</v>
      </c>
      <c r="S13" s="1024">
        <v>5</v>
      </c>
      <c r="T13" s="1026">
        <v>492</v>
      </c>
    </row>
    <row r="14" spans="1:20" x14ac:dyDescent="0.25">
      <c r="A14" s="917" t="s">
        <v>931</v>
      </c>
      <c r="B14" s="1024">
        <v>28</v>
      </c>
      <c r="C14" s="1024">
        <v>2</v>
      </c>
      <c r="D14" s="1025">
        <v>1</v>
      </c>
      <c r="E14" s="1024">
        <v>20</v>
      </c>
      <c r="F14" s="1024">
        <v>1</v>
      </c>
      <c r="G14" s="1025"/>
      <c r="H14" s="1024">
        <v>5</v>
      </c>
      <c r="I14" s="921">
        <v>42</v>
      </c>
      <c r="J14" s="1024"/>
      <c r="K14" s="1024"/>
      <c r="L14" s="1024"/>
      <c r="M14" s="1024"/>
      <c r="N14" s="921"/>
      <c r="O14" s="922">
        <v>42</v>
      </c>
      <c r="P14" s="1024">
        <v>15</v>
      </c>
      <c r="Q14" s="1024">
        <v>38</v>
      </c>
      <c r="R14" s="1024"/>
      <c r="S14" s="1024"/>
      <c r="T14" s="1026">
        <v>38</v>
      </c>
    </row>
    <row r="15" spans="1:20" x14ac:dyDescent="0.25">
      <c r="A15" s="917" t="s">
        <v>932</v>
      </c>
      <c r="B15" s="1024">
        <v>1</v>
      </c>
      <c r="C15" s="1024"/>
      <c r="D15" s="1025"/>
      <c r="E15" s="1024"/>
      <c r="F15" s="1024"/>
      <c r="G15" s="1025"/>
      <c r="H15" s="1024"/>
      <c r="I15" s="921">
        <v>1</v>
      </c>
      <c r="J15" s="1024"/>
      <c r="K15" s="1024"/>
      <c r="L15" s="1024"/>
      <c r="M15" s="1024"/>
      <c r="N15" s="921"/>
      <c r="O15" s="922">
        <v>1</v>
      </c>
      <c r="P15" s="1024">
        <v>1</v>
      </c>
      <c r="Q15" s="1024"/>
      <c r="R15" s="1024"/>
      <c r="S15" s="1024"/>
      <c r="T15" s="1026"/>
    </row>
    <row r="16" spans="1:20" x14ac:dyDescent="0.25">
      <c r="A16" s="917" t="s">
        <v>933</v>
      </c>
      <c r="B16" s="1024">
        <v>157</v>
      </c>
      <c r="C16" s="1024">
        <v>11</v>
      </c>
      <c r="D16" s="1025"/>
      <c r="E16" s="1024">
        <v>174</v>
      </c>
      <c r="F16" s="1024">
        <v>23</v>
      </c>
      <c r="G16" s="1025">
        <v>2</v>
      </c>
      <c r="H16" s="1024">
        <v>44</v>
      </c>
      <c r="I16" s="921">
        <v>314</v>
      </c>
      <c r="J16" s="1024">
        <v>1</v>
      </c>
      <c r="K16" s="1024"/>
      <c r="L16" s="1024"/>
      <c r="M16" s="1024"/>
      <c r="N16" s="921">
        <v>1</v>
      </c>
      <c r="O16" s="922">
        <v>314</v>
      </c>
      <c r="P16" s="1024">
        <v>115</v>
      </c>
      <c r="Q16" s="1024">
        <v>274</v>
      </c>
      <c r="R16" s="1024">
        <v>2</v>
      </c>
      <c r="S16" s="1024">
        <v>1</v>
      </c>
      <c r="T16" s="1026">
        <v>276</v>
      </c>
    </row>
    <row r="17" spans="1:20" x14ac:dyDescent="0.25">
      <c r="A17" s="917" t="s">
        <v>934</v>
      </c>
      <c r="B17" s="1024">
        <v>200</v>
      </c>
      <c r="C17" s="1024">
        <v>18</v>
      </c>
      <c r="D17" s="1025"/>
      <c r="E17" s="1024">
        <v>186</v>
      </c>
      <c r="F17" s="1024">
        <v>12</v>
      </c>
      <c r="G17" s="1025"/>
      <c r="H17" s="1024">
        <v>32</v>
      </c>
      <c r="I17" s="921">
        <v>348</v>
      </c>
      <c r="J17" s="1024">
        <v>2</v>
      </c>
      <c r="K17" s="1024"/>
      <c r="L17" s="1024"/>
      <c r="M17" s="1024"/>
      <c r="N17" s="921">
        <v>2</v>
      </c>
      <c r="O17" s="922">
        <v>348</v>
      </c>
      <c r="P17" s="1024">
        <v>103</v>
      </c>
      <c r="Q17" s="1024">
        <v>281</v>
      </c>
      <c r="R17" s="1024">
        <v>8</v>
      </c>
      <c r="S17" s="1024">
        <v>3</v>
      </c>
      <c r="T17" s="1026">
        <v>290</v>
      </c>
    </row>
    <row r="18" spans="1:20" x14ac:dyDescent="0.25">
      <c r="A18" s="917" t="s">
        <v>935</v>
      </c>
      <c r="B18" s="1024">
        <v>172</v>
      </c>
      <c r="C18" s="1024">
        <v>22</v>
      </c>
      <c r="D18" s="1025"/>
      <c r="E18" s="1024">
        <v>265</v>
      </c>
      <c r="F18" s="1024">
        <v>7</v>
      </c>
      <c r="G18" s="1025"/>
      <c r="H18" s="1024">
        <v>38</v>
      </c>
      <c r="I18" s="921">
        <v>379</v>
      </c>
      <c r="J18" s="1024">
        <v>3</v>
      </c>
      <c r="K18" s="1024"/>
      <c r="L18" s="1024"/>
      <c r="M18" s="1024"/>
      <c r="N18" s="921">
        <v>3</v>
      </c>
      <c r="O18" s="922">
        <v>380</v>
      </c>
      <c r="P18" s="1024">
        <v>145</v>
      </c>
      <c r="Q18" s="1024">
        <v>313</v>
      </c>
      <c r="R18" s="1024">
        <v>10</v>
      </c>
      <c r="S18" s="1024"/>
      <c r="T18" s="1026">
        <v>319</v>
      </c>
    </row>
    <row r="19" spans="1:20" x14ac:dyDescent="0.25">
      <c r="A19" s="917" t="s">
        <v>936</v>
      </c>
      <c r="B19" s="1024">
        <v>97</v>
      </c>
      <c r="C19" s="1024">
        <v>6</v>
      </c>
      <c r="D19" s="1025"/>
      <c r="E19" s="1024">
        <v>112</v>
      </c>
      <c r="F19" s="1024">
        <v>2</v>
      </c>
      <c r="G19" s="1025"/>
      <c r="H19" s="1024">
        <v>29</v>
      </c>
      <c r="I19" s="921">
        <v>210</v>
      </c>
      <c r="J19" s="1024"/>
      <c r="K19" s="1024"/>
      <c r="L19" s="1024"/>
      <c r="M19" s="1024"/>
      <c r="N19" s="921"/>
      <c r="O19" s="922">
        <v>210</v>
      </c>
      <c r="P19" s="1024">
        <v>64</v>
      </c>
      <c r="Q19" s="1024">
        <v>162</v>
      </c>
      <c r="R19" s="1024"/>
      <c r="S19" s="1024">
        <v>5</v>
      </c>
      <c r="T19" s="1026">
        <v>167</v>
      </c>
    </row>
    <row r="20" spans="1:20" x14ac:dyDescent="0.25">
      <c r="A20" s="917" t="s">
        <v>937</v>
      </c>
      <c r="B20" s="1024">
        <v>2</v>
      </c>
      <c r="C20" s="1024"/>
      <c r="D20" s="1025"/>
      <c r="E20" s="1024">
        <v>2</v>
      </c>
      <c r="F20" s="1024"/>
      <c r="G20" s="1025"/>
      <c r="H20" s="1024">
        <v>1</v>
      </c>
      <c r="I20" s="921">
        <v>5</v>
      </c>
      <c r="J20" s="1024"/>
      <c r="K20" s="1024"/>
      <c r="L20" s="1024"/>
      <c r="M20" s="1024"/>
      <c r="N20" s="921"/>
      <c r="O20" s="922">
        <v>5</v>
      </c>
      <c r="P20" s="1024">
        <v>3</v>
      </c>
      <c r="Q20" s="1024">
        <v>4</v>
      </c>
      <c r="R20" s="1024"/>
      <c r="S20" s="1024"/>
      <c r="T20" s="1026">
        <v>4</v>
      </c>
    </row>
    <row r="21" spans="1:20" x14ac:dyDescent="0.25">
      <c r="A21" s="917" t="s">
        <v>938</v>
      </c>
      <c r="B21" s="1024"/>
      <c r="C21" s="1024"/>
      <c r="D21" s="1025"/>
      <c r="E21" s="1024"/>
      <c r="F21" s="1024"/>
      <c r="G21" s="1025"/>
      <c r="H21" s="1024"/>
      <c r="I21" s="921"/>
      <c r="J21" s="1024"/>
      <c r="K21" s="1024"/>
      <c r="L21" s="1024"/>
      <c r="M21" s="1024"/>
      <c r="N21" s="921"/>
      <c r="O21" s="922"/>
      <c r="P21" s="1024"/>
      <c r="Q21" s="1024"/>
      <c r="R21" s="1024"/>
      <c r="S21" s="1024"/>
      <c r="T21" s="1026"/>
    </row>
    <row r="22" spans="1:20" x14ac:dyDescent="0.25">
      <c r="A22" s="917" t="s">
        <v>939</v>
      </c>
      <c r="B22" s="1024">
        <v>12</v>
      </c>
      <c r="C22" s="1024">
        <v>1</v>
      </c>
      <c r="D22" s="1025"/>
      <c r="E22" s="1024">
        <v>9</v>
      </c>
      <c r="F22" s="1024"/>
      <c r="G22" s="1025"/>
      <c r="H22" s="1024">
        <v>4</v>
      </c>
      <c r="I22" s="921">
        <v>20</v>
      </c>
      <c r="J22" s="1024"/>
      <c r="K22" s="1024"/>
      <c r="L22" s="1024"/>
      <c r="M22" s="1024"/>
      <c r="N22" s="921"/>
      <c r="O22" s="922">
        <v>20</v>
      </c>
      <c r="P22" s="1024">
        <v>8</v>
      </c>
      <c r="Q22" s="1024">
        <v>15</v>
      </c>
      <c r="R22" s="1024">
        <v>1</v>
      </c>
      <c r="S22" s="1024">
        <v>1</v>
      </c>
      <c r="T22" s="1026">
        <v>17</v>
      </c>
    </row>
    <row r="23" spans="1:20" x14ac:dyDescent="0.25">
      <c r="A23" s="917" t="s">
        <v>940</v>
      </c>
      <c r="B23" s="1024"/>
      <c r="C23" s="1024"/>
      <c r="D23" s="1025"/>
      <c r="E23" s="1024"/>
      <c r="F23" s="1024"/>
      <c r="G23" s="1025"/>
      <c r="H23" s="1024"/>
      <c r="I23" s="921"/>
      <c r="J23" s="1024"/>
      <c r="K23" s="1024"/>
      <c r="L23" s="1024"/>
      <c r="M23" s="1024"/>
      <c r="N23" s="921"/>
      <c r="O23" s="922"/>
      <c r="P23" s="1024"/>
      <c r="Q23" s="1024"/>
      <c r="R23" s="1024"/>
      <c r="S23" s="1024"/>
      <c r="T23" s="1026"/>
    </row>
    <row r="24" spans="1:20" x14ac:dyDescent="0.25">
      <c r="A24" s="910" t="s">
        <v>229</v>
      </c>
      <c r="B24" s="1022">
        <v>997</v>
      </c>
      <c r="C24" s="1022">
        <v>103</v>
      </c>
      <c r="D24" s="1023">
        <v>1</v>
      </c>
      <c r="E24" s="1022">
        <v>1168</v>
      </c>
      <c r="F24" s="1022">
        <v>64</v>
      </c>
      <c r="G24" s="1023">
        <v>1</v>
      </c>
      <c r="H24" s="1022">
        <v>276</v>
      </c>
      <c r="I24" s="914">
        <v>2081</v>
      </c>
      <c r="J24" s="1022">
        <v>6</v>
      </c>
      <c r="K24" s="1022"/>
      <c r="L24" s="1022"/>
      <c r="M24" s="1022">
        <v>1</v>
      </c>
      <c r="N24" s="914">
        <v>7</v>
      </c>
      <c r="O24" s="914">
        <v>2081</v>
      </c>
      <c r="P24" s="1022">
        <v>641</v>
      </c>
      <c r="Q24" s="1022">
        <v>1731</v>
      </c>
      <c r="R24" s="1022">
        <v>25</v>
      </c>
      <c r="S24" s="1022">
        <v>16</v>
      </c>
      <c r="T24" s="1022">
        <v>1763</v>
      </c>
    </row>
    <row r="25" spans="1:20" x14ac:dyDescent="0.25">
      <c r="A25" s="917" t="s">
        <v>941</v>
      </c>
      <c r="B25" s="1024">
        <v>374</v>
      </c>
      <c r="C25" s="1024">
        <v>31</v>
      </c>
      <c r="D25" s="1025"/>
      <c r="E25" s="1024">
        <v>582</v>
      </c>
      <c r="F25" s="1024">
        <v>14</v>
      </c>
      <c r="G25" s="1025"/>
      <c r="H25" s="1024">
        <v>68</v>
      </c>
      <c r="I25" s="921">
        <v>889</v>
      </c>
      <c r="J25" s="1024">
        <v>2</v>
      </c>
      <c r="K25" s="1024"/>
      <c r="L25" s="1024"/>
      <c r="M25" s="1024"/>
      <c r="N25" s="921">
        <v>2</v>
      </c>
      <c r="O25" s="922">
        <v>889</v>
      </c>
      <c r="P25" s="1024">
        <v>233</v>
      </c>
      <c r="Q25" s="1024">
        <v>731</v>
      </c>
      <c r="R25" s="1024">
        <v>10</v>
      </c>
      <c r="S25" s="1024">
        <v>6</v>
      </c>
      <c r="T25" s="1026">
        <v>745</v>
      </c>
    </row>
    <row r="26" spans="1:20" x14ac:dyDescent="0.25">
      <c r="A26" s="917" t="s">
        <v>942</v>
      </c>
      <c r="B26" s="1024">
        <v>199</v>
      </c>
      <c r="C26" s="1024">
        <v>23</v>
      </c>
      <c r="D26" s="1025"/>
      <c r="E26" s="1024">
        <v>245</v>
      </c>
      <c r="F26" s="1024">
        <v>15</v>
      </c>
      <c r="G26" s="1025"/>
      <c r="H26" s="1024">
        <v>71</v>
      </c>
      <c r="I26" s="921">
        <v>436</v>
      </c>
      <c r="J26" s="1024">
        <v>1</v>
      </c>
      <c r="K26" s="1024"/>
      <c r="L26" s="1024"/>
      <c r="M26" s="1024">
        <v>1</v>
      </c>
      <c r="N26" s="921">
        <v>2</v>
      </c>
      <c r="O26" s="922">
        <v>436</v>
      </c>
      <c r="P26" s="1024">
        <v>156</v>
      </c>
      <c r="Q26" s="1024">
        <v>334</v>
      </c>
      <c r="R26" s="1024">
        <v>2</v>
      </c>
      <c r="S26" s="1024">
        <v>4</v>
      </c>
      <c r="T26" s="1026">
        <v>339</v>
      </c>
    </row>
    <row r="27" spans="1:20" x14ac:dyDescent="0.25">
      <c r="A27" s="917" t="s">
        <v>943</v>
      </c>
      <c r="B27" s="1024"/>
      <c r="C27" s="1024"/>
      <c r="D27" s="1025"/>
      <c r="E27" s="1024"/>
      <c r="F27" s="1024"/>
      <c r="G27" s="1025"/>
      <c r="H27" s="1024"/>
      <c r="I27" s="921"/>
      <c r="J27" s="1024"/>
      <c r="K27" s="1024"/>
      <c r="L27" s="1024"/>
      <c r="M27" s="1024"/>
      <c r="N27" s="921"/>
      <c r="O27" s="922"/>
      <c r="P27" s="1024"/>
      <c r="Q27" s="1024"/>
      <c r="R27" s="1024"/>
      <c r="S27" s="1024"/>
      <c r="T27" s="1026"/>
    </row>
    <row r="28" spans="1:20" x14ac:dyDescent="0.25">
      <c r="A28" s="917" t="s">
        <v>944</v>
      </c>
      <c r="B28" s="1024">
        <v>3</v>
      </c>
      <c r="C28" s="1024"/>
      <c r="D28" s="1025"/>
      <c r="E28" s="1024"/>
      <c r="F28" s="1024"/>
      <c r="G28" s="1025"/>
      <c r="H28" s="1024"/>
      <c r="I28" s="921">
        <v>3</v>
      </c>
      <c r="J28" s="1024"/>
      <c r="K28" s="1024"/>
      <c r="L28" s="1024"/>
      <c r="M28" s="1024"/>
      <c r="N28" s="921"/>
      <c r="O28" s="922">
        <v>3</v>
      </c>
      <c r="P28" s="1024"/>
      <c r="Q28" s="1024">
        <v>3</v>
      </c>
      <c r="R28" s="1024"/>
      <c r="S28" s="1024"/>
      <c r="T28" s="1026">
        <v>3</v>
      </c>
    </row>
    <row r="29" spans="1:20" x14ac:dyDescent="0.25">
      <c r="A29" s="917" t="s">
        <v>945</v>
      </c>
      <c r="B29" s="1024">
        <v>262</v>
      </c>
      <c r="C29" s="1024">
        <v>39</v>
      </c>
      <c r="D29" s="1025">
        <v>1</v>
      </c>
      <c r="E29" s="1024">
        <v>234</v>
      </c>
      <c r="F29" s="1024">
        <v>21</v>
      </c>
      <c r="G29" s="1025"/>
      <c r="H29" s="1024">
        <v>94</v>
      </c>
      <c r="I29" s="921">
        <v>485</v>
      </c>
      <c r="J29" s="1024">
        <v>3</v>
      </c>
      <c r="K29" s="1024"/>
      <c r="L29" s="1024"/>
      <c r="M29" s="1024"/>
      <c r="N29" s="921">
        <v>3</v>
      </c>
      <c r="O29" s="922">
        <v>485</v>
      </c>
      <c r="P29" s="1024">
        <v>172</v>
      </c>
      <c r="Q29" s="1024">
        <v>432</v>
      </c>
      <c r="R29" s="1024">
        <v>10</v>
      </c>
      <c r="S29" s="1024">
        <v>2</v>
      </c>
      <c r="T29" s="1026">
        <v>439</v>
      </c>
    </row>
    <row r="30" spans="1:20" x14ac:dyDescent="0.25">
      <c r="A30" s="917" t="s">
        <v>946</v>
      </c>
      <c r="B30" s="1024">
        <v>74</v>
      </c>
      <c r="C30" s="1024">
        <v>7</v>
      </c>
      <c r="D30" s="1025"/>
      <c r="E30" s="1024">
        <v>50</v>
      </c>
      <c r="F30" s="1024">
        <v>6</v>
      </c>
      <c r="G30" s="1025"/>
      <c r="H30" s="1024">
        <v>22</v>
      </c>
      <c r="I30" s="921">
        <v>121</v>
      </c>
      <c r="J30" s="1024"/>
      <c r="K30" s="1024"/>
      <c r="L30" s="1024"/>
      <c r="M30" s="1024"/>
      <c r="N30" s="921"/>
      <c r="O30" s="922">
        <v>121</v>
      </c>
      <c r="P30" s="1024">
        <v>45</v>
      </c>
      <c r="Q30" s="1024">
        <v>100</v>
      </c>
      <c r="R30" s="1024">
        <v>1</v>
      </c>
      <c r="S30" s="1024">
        <v>3</v>
      </c>
      <c r="T30" s="1026">
        <v>104</v>
      </c>
    </row>
    <row r="31" spans="1:20" x14ac:dyDescent="0.25">
      <c r="A31" s="917" t="s">
        <v>947</v>
      </c>
      <c r="B31" s="1024">
        <v>1</v>
      </c>
      <c r="C31" s="1024"/>
      <c r="D31" s="1025"/>
      <c r="E31" s="1024"/>
      <c r="F31" s="1024"/>
      <c r="G31" s="1025"/>
      <c r="H31" s="1024"/>
      <c r="I31" s="921">
        <v>1</v>
      </c>
      <c r="J31" s="1024"/>
      <c r="K31" s="1024"/>
      <c r="L31" s="1024"/>
      <c r="M31" s="1024"/>
      <c r="N31" s="921"/>
      <c r="O31" s="922">
        <v>1</v>
      </c>
      <c r="P31" s="1024"/>
      <c r="Q31" s="1024">
        <v>1</v>
      </c>
      <c r="R31" s="1024"/>
      <c r="S31" s="1024"/>
      <c r="T31" s="1026">
        <v>1</v>
      </c>
    </row>
    <row r="32" spans="1:20" x14ac:dyDescent="0.25">
      <c r="A32" s="917" t="s">
        <v>948</v>
      </c>
      <c r="B32" s="1024"/>
      <c r="C32" s="1024"/>
      <c r="D32" s="1025"/>
      <c r="E32" s="1024"/>
      <c r="F32" s="1024"/>
      <c r="G32" s="1025"/>
      <c r="H32" s="1024"/>
      <c r="I32" s="921"/>
      <c r="J32" s="1024"/>
      <c r="K32" s="1024"/>
      <c r="L32" s="1024"/>
      <c r="M32" s="1024"/>
      <c r="N32" s="921"/>
      <c r="O32" s="922"/>
      <c r="P32" s="1024"/>
      <c r="Q32" s="1024"/>
      <c r="R32" s="1024"/>
      <c r="S32" s="1024"/>
      <c r="T32" s="1026"/>
    </row>
    <row r="33" spans="1:20" x14ac:dyDescent="0.25">
      <c r="A33" s="917" t="s">
        <v>949</v>
      </c>
      <c r="B33" s="1024">
        <v>18</v>
      </c>
      <c r="C33" s="1024">
        <v>2</v>
      </c>
      <c r="D33" s="1025"/>
      <c r="E33" s="1024">
        <v>22</v>
      </c>
      <c r="F33" s="1024">
        <v>4</v>
      </c>
      <c r="G33" s="1025"/>
      <c r="H33" s="1024">
        <v>7</v>
      </c>
      <c r="I33" s="921">
        <v>40</v>
      </c>
      <c r="J33" s="1024"/>
      <c r="K33" s="1024"/>
      <c r="L33" s="1024"/>
      <c r="M33" s="1024"/>
      <c r="N33" s="921"/>
      <c r="O33" s="922">
        <v>40</v>
      </c>
      <c r="P33" s="1024">
        <v>10</v>
      </c>
      <c r="Q33" s="1024">
        <v>36</v>
      </c>
      <c r="R33" s="1024"/>
      <c r="S33" s="1024"/>
      <c r="T33" s="1026">
        <v>36</v>
      </c>
    </row>
    <row r="34" spans="1:20" x14ac:dyDescent="0.25">
      <c r="A34" s="917" t="s">
        <v>950</v>
      </c>
      <c r="B34" s="1024">
        <v>47</v>
      </c>
      <c r="C34" s="1024">
        <v>1</v>
      </c>
      <c r="D34" s="1025"/>
      <c r="E34" s="1024">
        <v>11</v>
      </c>
      <c r="F34" s="1024">
        <v>3</v>
      </c>
      <c r="G34" s="1025">
        <v>1</v>
      </c>
      <c r="H34" s="1024">
        <v>6</v>
      </c>
      <c r="I34" s="921">
        <v>61</v>
      </c>
      <c r="J34" s="1024"/>
      <c r="K34" s="1024"/>
      <c r="L34" s="1024"/>
      <c r="M34" s="1024"/>
      <c r="N34" s="921"/>
      <c r="O34" s="922">
        <v>61</v>
      </c>
      <c r="P34" s="1024">
        <v>13</v>
      </c>
      <c r="Q34" s="1024">
        <v>55</v>
      </c>
      <c r="R34" s="1024"/>
      <c r="S34" s="1024"/>
      <c r="T34" s="1026">
        <v>55</v>
      </c>
    </row>
    <row r="35" spans="1:20" x14ac:dyDescent="0.25">
      <c r="A35" s="917" t="s">
        <v>951</v>
      </c>
      <c r="B35" s="1024">
        <v>22</v>
      </c>
      <c r="C35" s="1024"/>
      <c r="D35" s="1025"/>
      <c r="E35" s="1024">
        <v>25</v>
      </c>
      <c r="F35" s="1024">
        <v>1</v>
      </c>
      <c r="G35" s="1025"/>
      <c r="H35" s="1024">
        <v>8</v>
      </c>
      <c r="I35" s="921">
        <v>49</v>
      </c>
      <c r="J35" s="1024"/>
      <c r="K35" s="1024"/>
      <c r="L35" s="1024"/>
      <c r="M35" s="1024"/>
      <c r="N35" s="921"/>
      <c r="O35" s="922">
        <v>49</v>
      </c>
      <c r="P35" s="1024">
        <v>13</v>
      </c>
      <c r="Q35" s="1024">
        <v>42</v>
      </c>
      <c r="R35" s="1024">
        <v>2</v>
      </c>
      <c r="S35" s="1024">
        <v>1</v>
      </c>
      <c r="T35" s="1026">
        <v>44</v>
      </c>
    </row>
    <row r="36" spans="1:20" x14ac:dyDescent="0.25">
      <c r="A36" s="910" t="s">
        <v>115</v>
      </c>
      <c r="B36" s="1022">
        <v>1022</v>
      </c>
      <c r="C36" s="1022">
        <v>88</v>
      </c>
      <c r="D36" s="1023">
        <v>1</v>
      </c>
      <c r="E36" s="1022">
        <v>907</v>
      </c>
      <c r="F36" s="1022">
        <v>69</v>
      </c>
      <c r="G36" s="1023">
        <v>3</v>
      </c>
      <c r="H36" s="1022">
        <v>297</v>
      </c>
      <c r="I36" s="914">
        <v>1697</v>
      </c>
      <c r="J36" s="1022">
        <v>12</v>
      </c>
      <c r="K36" s="1022"/>
      <c r="L36" s="1022">
        <v>2</v>
      </c>
      <c r="M36" s="1022">
        <v>3</v>
      </c>
      <c r="N36" s="914">
        <v>14</v>
      </c>
      <c r="O36" s="914">
        <v>1699</v>
      </c>
      <c r="P36" s="1022">
        <v>725</v>
      </c>
      <c r="Q36" s="1022">
        <v>1508</v>
      </c>
      <c r="R36" s="1022">
        <v>26</v>
      </c>
      <c r="S36" s="1022">
        <v>16</v>
      </c>
      <c r="T36" s="1022">
        <v>1539</v>
      </c>
    </row>
    <row r="37" spans="1:20" x14ac:dyDescent="0.25">
      <c r="A37" s="917" t="s">
        <v>952</v>
      </c>
      <c r="B37" s="1024">
        <v>162</v>
      </c>
      <c r="C37" s="1024">
        <v>12</v>
      </c>
      <c r="D37" s="1025"/>
      <c r="E37" s="1024">
        <v>138</v>
      </c>
      <c r="F37" s="1024">
        <v>15</v>
      </c>
      <c r="G37" s="1025">
        <v>2</v>
      </c>
      <c r="H37" s="1024">
        <v>38</v>
      </c>
      <c r="I37" s="921">
        <v>273</v>
      </c>
      <c r="J37" s="1024">
        <v>1</v>
      </c>
      <c r="K37" s="1024"/>
      <c r="L37" s="1024"/>
      <c r="M37" s="1024">
        <v>1</v>
      </c>
      <c r="N37" s="921">
        <v>2</v>
      </c>
      <c r="O37" s="922">
        <v>274</v>
      </c>
      <c r="P37" s="1024">
        <v>94</v>
      </c>
      <c r="Q37" s="1024">
        <v>243</v>
      </c>
      <c r="R37" s="1024">
        <v>5</v>
      </c>
      <c r="S37" s="1024">
        <v>1</v>
      </c>
      <c r="T37" s="1026">
        <v>248</v>
      </c>
    </row>
    <row r="38" spans="1:20" x14ac:dyDescent="0.25">
      <c r="A38" s="917" t="s">
        <v>953</v>
      </c>
      <c r="B38" s="1024">
        <v>565</v>
      </c>
      <c r="C38" s="1024">
        <v>49</v>
      </c>
      <c r="D38" s="1025">
        <v>1</v>
      </c>
      <c r="E38" s="1024">
        <v>490</v>
      </c>
      <c r="F38" s="1024">
        <v>41</v>
      </c>
      <c r="G38" s="1025">
        <v>1</v>
      </c>
      <c r="H38" s="1024">
        <v>183</v>
      </c>
      <c r="I38" s="921">
        <v>896</v>
      </c>
      <c r="J38" s="1024">
        <v>6</v>
      </c>
      <c r="K38" s="1024"/>
      <c r="L38" s="1024">
        <v>2</v>
      </c>
      <c r="M38" s="1024">
        <v>2</v>
      </c>
      <c r="N38" s="921">
        <v>7</v>
      </c>
      <c r="O38" s="922">
        <v>897</v>
      </c>
      <c r="P38" s="1024">
        <v>392</v>
      </c>
      <c r="Q38" s="1024">
        <v>794</v>
      </c>
      <c r="R38" s="1024">
        <v>9</v>
      </c>
      <c r="S38" s="1024">
        <v>11</v>
      </c>
      <c r="T38" s="1026">
        <v>810</v>
      </c>
    </row>
    <row r="39" spans="1:20" x14ac:dyDescent="0.25">
      <c r="A39" s="917" t="s">
        <v>954</v>
      </c>
      <c r="B39" s="1024">
        <v>49</v>
      </c>
      <c r="C39" s="1024">
        <v>7</v>
      </c>
      <c r="D39" s="1025"/>
      <c r="E39" s="1024">
        <v>43</v>
      </c>
      <c r="F39" s="1024">
        <v>5</v>
      </c>
      <c r="G39" s="1025"/>
      <c r="H39" s="1024">
        <v>22</v>
      </c>
      <c r="I39" s="921">
        <v>91</v>
      </c>
      <c r="J39" s="1024"/>
      <c r="K39" s="1024"/>
      <c r="L39" s="1024"/>
      <c r="M39" s="1024"/>
      <c r="N39" s="921"/>
      <c r="O39" s="922">
        <v>91</v>
      </c>
      <c r="P39" s="1024">
        <v>39</v>
      </c>
      <c r="Q39" s="1024">
        <v>81</v>
      </c>
      <c r="R39" s="1024">
        <v>1</v>
      </c>
      <c r="S39" s="1024">
        <v>2</v>
      </c>
      <c r="T39" s="1026">
        <v>83</v>
      </c>
    </row>
    <row r="40" spans="1:20" x14ac:dyDescent="0.25">
      <c r="A40" s="917" t="s">
        <v>955</v>
      </c>
      <c r="B40" s="1024">
        <v>66</v>
      </c>
      <c r="C40" s="1024">
        <v>3</v>
      </c>
      <c r="D40" s="1025"/>
      <c r="E40" s="1024">
        <v>42</v>
      </c>
      <c r="F40" s="1024">
        <v>1</v>
      </c>
      <c r="G40" s="1025"/>
      <c r="H40" s="1024">
        <v>14</v>
      </c>
      <c r="I40" s="921">
        <v>90</v>
      </c>
      <c r="J40" s="1024">
        <v>1</v>
      </c>
      <c r="K40" s="1024"/>
      <c r="L40" s="1024"/>
      <c r="M40" s="1024"/>
      <c r="N40" s="921">
        <v>1</v>
      </c>
      <c r="O40" s="922">
        <v>90</v>
      </c>
      <c r="P40" s="1024">
        <v>48</v>
      </c>
      <c r="Q40" s="1024">
        <v>82</v>
      </c>
      <c r="R40" s="1024">
        <v>2</v>
      </c>
      <c r="S40" s="1024"/>
      <c r="T40" s="1026">
        <v>83</v>
      </c>
    </row>
    <row r="41" spans="1:20" x14ac:dyDescent="0.25">
      <c r="A41" s="917" t="s">
        <v>956</v>
      </c>
      <c r="B41" s="1024">
        <v>8</v>
      </c>
      <c r="C41" s="1024">
        <v>1</v>
      </c>
      <c r="D41" s="1025"/>
      <c r="E41" s="1024">
        <v>6</v>
      </c>
      <c r="F41" s="1024">
        <v>1</v>
      </c>
      <c r="G41" s="1025"/>
      <c r="H41" s="1024">
        <v>2</v>
      </c>
      <c r="I41" s="921">
        <v>10</v>
      </c>
      <c r="J41" s="1024">
        <v>1</v>
      </c>
      <c r="K41" s="1024"/>
      <c r="L41" s="1024"/>
      <c r="M41" s="1024"/>
      <c r="N41" s="921">
        <v>1</v>
      </c>
      <c r="O41" s="922">
        <v>10</v>
      </c>
      <c r="P41" s="1024">
        <v>7</v>
      </c>
      <c r="Q41" s="1024">
        <v>9</v>
      </c>
      <c r="R41" s="1024"/>
      <c r="S41" s="1024"/>
      <c r="T41" s="1026">
        <v>9</v>
      </c>
    </row>
    <row r="42" spans="1:20" x14ac:dyDescent="0.25">
      <c r="A42" s="917" t="s">
        <v>957</v>
      </c>
      <c r="B42" s="1024">
        <v>58</v>
      </c>
      <c r="C42" s="1024">
        <v>4</v>
      </c>
      <c r="D42" s="1025"/>
      <c r="E42" s="1024">
        <v>44</v>
      </c>
      <c r="F42" s="1024">
        <v>2</v>
      </c>
      <c r="G42" s="1025"/>
      <c r="H42" s="1024">
        <v>9</v>
      </c>
      <c r="I42" s="921">
        <v>96</v>
      </c>
      <c r="J42" s="1024">
        <v>3</v>
      </c>
      <c r="K42" s="1024"/>
      <c r="L42" s="1024"/>
      <c r="M42" s="1024"/>
      <c r="N42" s="921">
        <v>3</v>
      </c>
      <c r="O42" s="922">
        <v>96</v>
      </c>
      <c r="P42" s="1024">
        <v>26</v>
      </c>
      <c r="Q42" s="1024">
        <v>83</v>
      </c>
      <c r="R42" s="1024">
        <v>2</v>
      </c>
      <c r="S42" s="1024">
        <v>1</v>
      </c>
      <c r="T42" s="1026">
        <v>85</v>
      </c>
    </row>
    <row r="43" spans="1:20" x14ac:dyDescent="0.25">
      <c r="A43" s="917" t="s">
        <v>958</v>
      </c>
      <c r="B43" s="1024">
        <v>13</v>
      </c>
      <c r="C43" s="1024">
        <v>1</v>
      </c>
      <c r="D43" s="1025"/>
      <c r="E43" s="1024">
        <v>15</v>
      </c>
      <c r="F43" s="1024"/>
      <c r="G43" s="1025"/>
      <c r="H43" s="1024">
        <v>2</v>
      </c>
      <c r="I43" s="921">
        <v>30</v>
      </c>
      <c r="J43" s="1024"/>
      <c r="K43" s="1024"/>
      <c r="L43" s="1024"/>
      <c r="M43" s="1024"/>
      <c r="N43" s="921"/>
      <c r="O43" s="922">
        <v>30</v>
      </c>
      <c r="P43" s="1024">
        <v>6</v>
      </c>
      <c r="Q43" s="1024">
        <v>29</v>
      </c>
      <c r="R43" s="1024"/>
      <c r="S43" s="1024"/>
      <c r="T43" s="1026">
        <v>29</v>
      </c>
    </row>
    <row r="44" spans="1:20" x14ac:dyDescent="0.25">
      <c r="A44" s="917" t="s">
        <v>959</v>
      </c>
      <c r="B44" s="1024">
        <v>8</v>
      </c>
      <c r="C44" s="1024"/>
      <c r="D44" s="1025"/>
      <c r="E44" s="1024">
        <v>3</v>
      </c>
      <c r="F44" s="1024"/>
      <c r="G44" s="1025"/>
      <c r="H44" s="1024"/>
      <c r="I44" s="921">
        <v>11</v>
      </c>
      <c r="J44" s="1024"/>
      <c r="K44" s="1024"/>
      <c r="L44" s="1024"/>
      <c r="M44" s="1024"/>
      <c r="N44" s="921"/>
      <c r="O44" s="922">
        <v>11</v>
      </c>
      <c r="P44" s="1024">
        <v>2</v>
      </c>
      <c r="Q44" s="1024">
        <v>7</v>
      </c>
      <c r="R44" s="1024"/>
      <c r="S44" s="1024"/>
      <c r="T44" s="1026">
        <v>7</v>
      </c>
    </row>
    <row r="45" spans="1:20" x14ac:dyDescent="0.25">
      <c r="A45" s="917" t="s">
        <v>960</v>
      </c>
      <c r="B45" s="1024">
        <v>95</v>
      </c>
      <c r="C45" s="1024">
        <v>11</v>
      </c>
      <c r="D45" s="1025"/>
      <c r="E45" s="1024">
        <v>126</v>
      </c>
      <c r="F45" s="1024">
        <v>4</v>
      </c>
      <c r="G45" s="1025"/>
      <c r="H45" s="1024">
        <v>27</v>
      </c>
      <c r="I45" s="921">
        <v>205</v>
      </c>
      <c r="J45" s="1024"/>
      <c r="K45" s="1024"/>
      <c r="L45" s="1024"/>
      <c r="M45" s="1024"/>
      <c r="N45" s="921"/>
      <c r="O45" s="922">
        <v>205</v>
      </c>
      <c r="P45" s="1024">
        <v>111</v>
      </c>
      <c r="Q45" s="1024">
        <v>184</v>
      </c>
      <c r="R45" s="1024">
        <v>7</v>
      </c>
      <c r="S45" s="1024">
        <v>1</v>
      </c>
      <c r="T45" s="1026">
        <v>189</v>
      </c>
    </row>
    <row r="46" spans="1:20" x14ac:dyDescent="0.25">
      <c r="A46" s="926" t="s">
        <v>961</v>
      </c>
      <c r="B46" s="1024">
        <v>17</v>
      </c>
      <c r="C46" s="1024"/>
      <c r="D46" s="1025"/>
      <c r="E46" s="1024">
        <v>15</v>
      </c>
      <c r="F46" s="1024">
        <v>2</v>
      </c>
      <c r="G46" s="1025"/>
      <c r="H46" s="1024">
        <v>4</v>
      </c>
      <c r="I46" s="921">
        <v>27</v>
      </c>
      <c r="J46" s="1024"/>
      <c r="K46" s="1024"/>
      <c r="L46" s="1024"/>
      <c r="M46" s="1024"/>
      <c r="N46" s="921"/>
      <c r="O46" s="922">
        <v>27</v>
      </c>
      <c r="P46" s="1024">
        <v>8</v>
      </c>
      <c r="Q46" s="1024">
        <v>26</v>
      </c>
      <c r="R46" s="1024"/>
      <c r="S46" s="1024"/>
      <c r="T46" s="1026">
        <v>26</v>
      </c>
    </row>
    <row r="47" spans="1:20" x14ac:dyDescent="0.25">
      <c r="A47" s="927" t="s">
        <v>962</v>
      </c>
      <c r="B47" s="1022">
        <v>11</v>
      </c>
      <c r="C47" s="1022"/>
      <c r="D47" s="1023"/>
      <c r="E47" s="1022"/>
      <c r="F47" s="1022"/>
      <c r="G47" s="1023"/>
      <c r="H47" s="1022">
        <v>4</v>
      </c>
      <c r="I47" s="914">
        <v>15</v>
      </c>
      <c r="J47" s="1022"/>
      <c r="K47" s="1022"/>
      <c r="L47" s="1022"/>
      <c r="M47" s="1022"/>
      <c r="N47" s="914"/>
      <c r="O47" s="914">
        <v>15</v>
      </c>
      <c r="P47" s="1022">
        <v>5</v>
      </c>
      <c r="Q47" s="1022">
        <v>9</v>
      </c>
      <c r="R47" s="1022"/>
      <c r="S47" s="1022"/>
      <c r="T47" s="1022">
        <v>9</v>
      </c>
    </row>
    <row r="48" spans="1:20" s="948" customFormat="1" ht="15.75" thickBot="1" x14ac:dyDescent="0.3">
      <c r="A48" s="928" t="s">
        <v>116</v>
      </c>
      <c r="B48" s="1027">
        <v>7897</v>
      </c>
      <c r="C48" s="1027">
        <v>631</v>
      </c>
      <c r="D48" s="1028">
        <v>6</v>
      </c>
      <c r="E48" s="1027">
        <v>6677</v>
      </c>
      <c r="F48" s="1027">
        <v>545</v>
      </c>
      <c r="G48" s="1028">
        <v>15</v>
      </c>
      <c r="H48" s="1027">
        <v>1727</v>
      </c>
      <c r="I48" s="1027">
        <v>13198</v>
      </c>
      <c r="J48" s="1027">
        <v>76</v>
      </c>
      <c r="K48" s="1027"/>
      <c r="L48" s="1027">
        <v>3</v>
      </c>
      <c r="M48" s="1027">
        <v>12</v>
      </c>
      <c r="N48" s="1027">
        <v>82</v>
      </c>
      <c r="O48" s="1027">
        <v>13219</v>
      </c>
      <c r="P48" s="1027">
        <v>4429</v>
      </c>
      <c r="Q48" s="1027">
        <v>11393</v>
      </c>
      <c r="R48" s="1027">
        <v>162</v>
      </c>
      <c r="S48" s="1027">
        <v>130</v>
      </c>
      <c r="T48" s="1027">
        <v>11614</v>
      </c>
    </row>
    <row r="49" spans="1:20" ht="15.75" thickTop="1" x14ac:dyDescent="0.25">
      <c r="A49" s="935" t="s">
        <v>963</v>
      </c>
      <c r="B49" s="1029">
        <v>8</v>
      </c>
      <c r="C49" s="1029">
        <v>1</v>
      </c>
      <c r="D49" s="1030"/>
      <c r="E49" s="1029">
        <v>8</v>
      </c>
      <c r="F49" s="1029">
        <v>2</v>
      </c>
      <c r="G49" s="1030"/>
      <c r="H49" s="1029">
        <v>3</v>
      </c>
      <c r="I49" s="1031">
        <v>13</v>
      </c>
      <c r="J49" s="1029"/>
      <c r="K49" s="1029"/>
      <c r="L49" s="1029"/>
      <c r="M49" s="1029"/>
      <c r="N49" s="1031"/>
      <c r="O49" s="1032">
        <v>13</v>
      </c>
      <c r="P49" s="1029">
        <v>5</v>
      </c>
      <c r="Q49" s="1029">
        <v>10</v>
      </c>
      <c r="R49" s="1029">
        <v>1</v>
      </c>
      <c r="S49" s="1029">
        <v>1</v>
      </c>
      <c r="T49" s="1033">
        <v>12</v>
      </c>
    </row>
    <row r="50" spans="1:20" x14ac:dyDescent="0.25">
      <c r="A50" s="938" t="s">
        <v>964</v>
      </c>
      <c r="B50" s="1024">
        <v>1</v>
      </c>
      <c r="C50" s="1024"/>
      <c r="D50" s="1025"/>
      <c r="E50" s="1024">
        <v>3</v>
      </c>
      <c r="F50" s="1024"/>
      <c r="G50" s="1025"/>
      <c r="H50" s="1024"/>
      <c r="I50" s="936">
        <v>3</v>
      </c>
      <c r="J50" s="1024"/>
      <c r="K50" s="1024"/>
      <c r="L50" s="1024"/>
      <c r="M50" s="1024"/>
      <c r="N50" s="936"/>
      <c r="O50" s="937">
        <v>3</v>
      </c>
      <c r="P50" s="1024">
        <v>1</v>
      </c>
      <c r="Q50" s="1024">
        <v>2</v>
      </c>
      <c r="R50" s="1024"/>
      <c r="S50" s="1024"/>
      <c r="T50" s="1034">
        <v>2</v>
      </c>
    </row>
    <row r="51" spans="1:20" x14ac:dyDescent="0.25">
      <c r="A51" s="938" t="s">
        <v>965</v>
      </c>
      <c r="B51" s="1024">
        <v>2</v>
      </c>
      <c r="C51" s="1024"/>
      <c r="D51" s="1025"/>
      <c r="E51" s="1024"/>
      <c r="F51" s="1024"/>
      <c r="G51" s="1025"/>
      <c r="H51" s="1024"/>
      <c r="I51" s="936">
        <v>2</v>
      </c>
      <c r="J51" s="1024"/>
      <c r="K51" s="1024"/>
      <c r="L51" s="1024"/>
      <c r="M51" s="1024"/>
      <c r="N51" s="936"/>
      <c r="O51" s="937">
        <v>2</v>
      </c>
      <c r="P51" s="1024">
        <v>2</v>
      </c>
      <c r="Q51" s="1024">
        <v>2</v>
      </c>
      <c r="R51" s="1024"/>
      <c r="S51" s="1024"/>
      <c r="T51" s="1034">
        <v>2</v>
      </c>
    </row>
    <row r="52" spans="1:20" x14ac:dyDescent="0.25">
      <c r="A52" s="938" t="s">
        <v>966</v>
      </c>
      <c r="B52" s="1024">
        <v>4</v>
      </c>
      <c r="C52" s="1024"/>
      <c r="D52" s="1025"/>
      <c r="E52" s="1024">
        <v>2</v>
      </c>
      <c r="F52" s="1024">
        <v>1</v>
      </c>
      <c r="G52" s="1025"/>
      <c r="H52" s="1024">
        <v>1</v>
      </c>
      <c r="I52" s="936">
        <v>6</v>
      </c>
      <c r="J52" s="1024"/>
      <c r="K52" s="1024"/>
      <c r="L52" s="1024"/>
      <c r="M52" s="1024"/>
      <c r="N52" s="936"/>
      <c r="O52" s="937">
        <v>6</v>
      </c>
      <c r="P52" s="1024">
        <v>3</v>
      </c>
      <c r="Q52" s="1024">
        <v>6</v>
      </c>
      <c r="R52" s="1024"/>
      <c r="S52" s="1024"/>
      <c r="T52" s="1034">
        <v>6</v>
      </c>
    </row>
    <row r="53" spans="1:20" x14ac:dyDescent="0.25">
      <c r="A53" s="938" t="s">
        <v>967</v>
      </c>
      <c r="B53" s="1024">
        <v>3</v>
      </c>
      <c r="C53" s="1024">
        <v>3</v>
      </c>
      <c r="D53" s="1025"/>
      <c r="E53" s="1024">
        <v>10</v>
      </c>
      <c r="F53" s="1024"/>
      <c r="G53" s="1025"/>
      <c r="H53" s="1024"/>
      <c r="I53" s="936">
        <v>12</v>
      </c>
      <c r="J53" s="1024"/>
      <c r="K53" s="1024"/>
      <c r="L53" s="1024">
        <v>1</v>
      </c>
      <c r="M53" s="1024"/>
      <c r="N53" s="936">
        <v>1</v>
      </c>
      <c r="O53" s="937">
        <v>12</v>
      </c>
      <c r="P53" s="1024">
        <v>2</v>
      </c>
      <c r="Q53" s="1024">
        <v>10</v>
      </c>
      <c r="R53" s="1024">
        <v>1</v>
      </c>
      <c r="S53" s="1024"/>
      <c r="T53" s="1034">
        <v>11</v>
      </c>
    </row>
    <row r="54" spans="1:20" x14ac:dyDescent="0.25">
      <c r="A54" s="938" t="s">
        <v>968</v>
      </c>
      <c r="B54" s="1024">
        <v>2</v>
      </c>
      <c r="C54" s="1024">
        <v>1</v>
      </c>
      <c r="D54" s="1025"/>
      <c r="E54" s="1024">
        <v>2</v>
      </c>
      <c r="F54" s="1024"/>
      <c r="G54" s="1025"/>
      <c r="H54" s="1024">
        <v>1</v>
      </c>
      <c r="I54" s="936">
        <v>3</v>
      </c>
      <c r="J54" s="1024"/>
      <c r="K54" s="1024"/>
      <c r="L54" s="1024"/>
      <c r="M54" s="1024"/>
      <c r="N54" s="936"/>
      <c r="O54" s="937">
        <v>3</v>
      </c>
      <c r="P54" s="1024">
        <v>1</v>
      </c>
      <c r="Q54" s="1024">
        <v>2</v>
      </c>
      <c r="R54" s="1024"/>
      <c r="S54" s="1024"/>
      <c r="T54" s="1034">
        <v>2</v>
      </c>
    </row>
    <row r="55" spans="1:20" x14ac:dyDescent="0.25">
      <c r="A55" s="938" t="s">
        <v>969</v>
      </c>
      <c r="B55" s="1024"/>
      <c r="C55" s="1024"/>
      <c r="D55" s="1025"/>
      <c r="E55" s="1024"/>
      <c r="F55" s="1024"/>
      <c r="G55" s="1025"/>
      <c r="H55" s="1024"/>
      <c r="I55" s="936"/>
      <c r="J55" s="1024"/>
      <c r="K55" s="1024"/>
      <c r="L55" s="1024"/>
      <c r="M55" s="1024"/>
      <c r="N55" s="936"/>
      <c r="O55" s="937"/>
      <c r="P55" s="1024"/>
      <c r="Q55" s="1024"/>
      <c r="R55" s="1024"/>
      <c r="S55" s="1024"/>
      <c r="T55" s="1034"/>
    </row>
    <row r="56" spans="1:20" x14ac:dyDescent="0.25">
      <c r="A56" s="938" t="s">
        <v>970</v>
      </c>
      <c r="B56" s="1024">
        <v>7</v>
      </c>
      <c r="C56" s="1024"/>
      <c r="D56" s="1025"/>
      <c r="E56" s="1024">
        <v>11</v>
      </c>
      <c r="F56" s="1024"/>
      <c r="G56" s="1025"/>
      <c r="H56" s="1024">
        <v>2</v>
      </c>
      <c r="I56" s="936">
        <v>18</v>
      </c>
      <c r="J56" s="1024"/>
      <c r="K56" s="1024"/>
      <c r="L56" s="1024"/>
      <c r="M56" s="1024"/>
      <c r="N56" s="936"/>
      <c r="O56" s="937">
        <v>18</v>
      </c>
      <c r="P56" s="1024">
        <v>7</v>
      </c>
      <c r="Q56" s="1024">
        <v>14</v>
      </c>
      <c r="R56" s="1024"/>
      <c r="S56" s="1024"/>
      <c r="T56" s="1034">
        <v>14</v>
      </c>
    </row>
    <row r="57" spans="1:20" x14ac:dyDescent="0.25">
      <c r="A57" s="938" t="s">
        <v>971</v>
      </c>
      <c r="B57" s="1024">
        <v>1</v>
      </c>
      <c r="C57" s="1024"/>
      <c r="D57" s="1025"/>
      <c r="E57" s="1024"/>
      <c r="F57" s="1024"/>
      <c r="G57" s="1025"/>
      <c r="H57" s="1024"/>
      <c r="I57" s="936">
        <v>1</v>
      </c>
      <c r="J57" s="1024"/>
      <c r="K57" s="1024"/>
      <c r="L57" s="1024"/>
      <c r="M57" s="1024"/>
      <c r="N57" s="936"/>
      <c r="O57" s="937">
        <v>1</v>
      </c>
      <c r="P57" s="1024"/>
      <c r="Q57" s="1024">
        <v>1</v>
      </c>
      <c r="R57" s="1024"/>
      <c r="S57" s="1024"/>
      <c r="T57" s="1034">
        <v>1</v>
      </c>
    </row>
    <row r="58" spans="1:20" x14ac:dyDescent="0.25">
      <c r="A58" s="938" t="s">
        <v>972</v>
      </c>
      <c r="B58" s="1024">
        <v>25</v>
      </c>
      <c r="C58" s="1024">
        <v>16</v>
      </c>
      <c r="D58" s="1025"/>
      <c r="E58" s="1024">
        <v>38</v>
      </c>
      <c r="F58" s="1024"/>
      <c r="G58" s="1025"/>
      <c r="H58" s="1024">
        <v>6</v>
      </c>
      <c r="I58" s="936">
        <v>69</v>
      </c>
      <c r="J58" s="1024"/>
      <c r="K58" s="1024"/>
      <c r="L58" s="1024"/>
      <c r="M58" s="1024"/>
      <c r="N58" s="936"/>
      <c r="O58" s="937">
        <v>69</v>
      </c>
      <c r="P58" s="1024">
        <v>25</v>
      </c>
      <c r="Q58" s="1024">
        <v>54</v>
      </c>
      <c r="R58" s="1024">
        <v>17</v>
      </c>
      <c r="S58" s="1024">
        <v>2</v>
      </c>
      <c r="T58" s="1034">
        <v>69</v>
      </c>
    </row>
    <row r="59" spans="1:20" x14ac:dyDescent="0.25">
      <c r="A59" s="938" t="s">
        <v>973</v>
      </c>
      <c r="B59" s="1024">
        <v>2</v>
      </c>
      <c r="C59" s="1024">
        <v>1</v>
      </c>
      <c r="D59" s="1025"/>
      <c r="E59" s="1024">
        <v>1</v>
      </c>
      <c r="F59" s="1024"/>
      <c r="G59" s="1025"/>
      <c r="H59" s="1024">
        <v>1</v>
      </c>
      <c r="I59" s="936">
        <v>4</v>
      </c>
      <c r="J59" s="1024"/>
      <c r="K59" s="1024"/>
      <c r="L59" s="1024"/>
      <c r="M59" s="1024"/>
      <c r="N59" s="936"/>
      <c r="O59" s="937">
        <v>4</v>
      </c>
      <c r="P59" s="1024">
        <v>4</v>
      </c>
      <c r="Q59" s="1024">
        <v>4</v>
      </c>
      <c r="R59" s="1024"/>
      <c r="S59" s="1024"/>
      <c r="T59" s="1034">
        <v>4</v>
      </c>
    </row>
    <row r="60" spans="1:20" x14ac:dyDescent="0.25">
      <c r="A60" s="938" t="s">
        <v>974</v>
      </c>
      <c r="B60" s="1024">
        <v>4</v>
      </c>
      <c r="C60" s="1024">
        <v>1</v>
      </c>
      <c r="D60" s="1025"/>
      <c r="E60" s="1024">
        <v>7</v>
      </c>
      <c r="F60" s="1024"/>
      <c r="G60" s="1025"/>
      <c r="H60" s="1024">
        <v>1</v>
      </c>
      <c r="I60" s="936">
        <v>8</v>
      </c>
      <c r="J60" s="1024"/>
      <c r="K60" s="1024"/>
      <c r="L60" s="1024"/>
      <c r="M60" s="1024"/>
      <c r="N60" s="936"/>
      <c r="O60" s="937">
        <v>8</v>
      </c>
      <c r="P60" s="1024">
        <v>2</v>
      </c>
      <c r="Q60" s="1024">
        <v>7</v>
      </c>
      <c r="R60" s="1024"/>
      <c r="S60" s="1024"/>
      <c r="T60" s="1034">
        <v>7</v>
      </c>
    </row>
    <row r="61" spans="1:20" x14ac:dyDescent="0.25">
      <c r="A61" s="938" t="s">
        <v>975</v>
      </c>
      <c r="B61" s="1024">
        <v>1</v>
      </c>
      <c r="C61" s="1024">
        <v>1</v>
      </c>
      <c r="D61" s="1025"/>
      <c r="E61" s="1024">
        <v>1</v>
      </c>
      <c r="F61" s="1024"/>
      <c r="G61" s="1025"/>
      <c r="H61" s="1024"/>
      <c r="I61" s="936">
        <v>1</v>
      </c>
      <c r="J61" s="1024"/>
      <c r="K61" s="1024"/>
      <c r="L61" s="1024"/>
      <c r="M61" s="1024"/>
      <c r="N61" s="936"/>
      <c r="O61" s="937">
        <v>1</v>
      </c>
      <c r="P61" s="1024">
        <v>1</v>
      </c>
      <c r="Q61" s="1024"/>
      <c r="R61" s="1024">
        <v>1</v>
      </c>
      <c r="S61" s="1024"/>
      <c r="T61" s="1034">
        <v>1</v>
      </c>
    </row>
    <row r="62" spans="1:20" x14ac:dyDescent="0.25">
      <c r="A62" s="938" t="s">
        <v>976</v>
      </c>
      <c r="B62" s="1024">
        <v>1</v>
      </c>
      <c r="C62" s="1024"/>
      <c r="D62" s="1025"/>
      <c r="E62" s="1024">
        <v>2</v>
      </c>
      <c r="F62" s="1024"/>
      <c r="G62" s="1025"/>
      <c r="H62" s="1024">
        <v>1</v>
      </c>
      <c r="I62" s="936">
        <v>3</v>
      </c>
      <c r="J62" s="1024"/>
      <c r="K62" s="1024"/>
      <c r="L62" s="1024"/>
      <c r="M62" s="1024"/>
      <c r="N62" s="936"/>
      <c r="O62" s="937">
        <v>3</v>
      </c>
      <c r="P62" s="1024">
        <v>1</v>
      </c>
      <c r="Q62" s="1024">
        <v>3</v>
      </c>
      <c r="R62" s="1024">
        <v>1</v>
      </c>
      <c r="S62" s="1024"/>
      <c r="T62" s="1034">
        <v>3</v>
      </c>
    </row>
    <row r="63" spans="1:20" x14ac:dyDescent="0.25">
      <c r="A63" s="938" t="s">
        <v>977</v>
      </c>
      <c r="B63" s="1024">
        <v>36</v>
      </c>
      <c r="C63" s="1024">
        <v>5</v>
      </c>
      <c r="D63" s="1025"/>
      <c r="E63" s="1024">
        <v>38</v>
      </c>
      <c r="F63" s="1024"/>
      <c r="G63" s="1025"/>
      <c r="H63" s="1024">
        <v>10</v>
      </c>
      <c r="I63" s="936">
        <v>62</v>
      </c>
      <c r="J63" s="1024"/>
      <c r="K63" s="1024"/>
      <c r="L63" s="1024"/>
      <c r="M63" s="1024"/>
      <c r="N63" s="936"/>
      <c r="O63" s="937">
        <v>62</v>
      </c>
      <c r="P63" s="1024">
        <v>24</v>
      </c>
      <c r="Q63" s="1024">
        <v>52</v>
      </c>
      <c r="R63" s="1024">
        <v>5</v>
      </c>
      <c r="S63" s="1024"/>
      <c r="T63" s="1034">
        <v>54</v>
      </c>
    </row>
    <row r="64" spans="1:20" x14ac:dyDescent="0.25">
      <c r="A64" s="910" t="s">
        <v>136</v>
      </c>
      <c r="B64" s="1022">
        <v>24</v>
      </c>
      <c r="C64" s="1022">
        <v>4</v>
      </c>
      <c r="D64" s="1023"/>
      <c r="E64" s="1022">
        <v>23</v>
      </c>
      <c r="F64" s="1022"/>
      <c r="G64" s="1023"/>
      <c r="H64" s="1022">
        <v>5</v>
      </c>
      <c r="I64" s="914">
        <v>46</v>
      </c>
      <c r="J64" s="1022"/>
      <c r="K64" s="1022"/>
      <c r="L64" s="1022"/>
      <c r="M64" s="1022"/>
      <c r="N64" s="914"/>
      <c r="O64" s="914">
        <v>46</v>
      </c>
      <c r="P64" s="1022">
        <v>20</v>
      </c>
      <c r="Q64" s="1022">
        <v>43</v>
      </c>
      <c r="R64" s="1022">
        <v>2</v>
      </c>
      <c r="S64" s="1022"/>
      <c r="T64" s="1022">
        <v>44</v>
      </c>
    </row>
    <row r="65" spans="1:20" x14ac:dyDescent="0.25">
      <c r="A65" s="939" t="s">
        <v>978</v>
      </c>
      <c r="B65" s="1024"/>
      <c r="C65" s="1024"/>
      <c r="D65" s="1025"/>
      <c r="E65" s="1024"/>
      <c r="F65" s="1024"/>
      <c r="G65" s="1025"/>
      <c r="H65" s="1024"/>
      <c r="I65" s="936"/>
      <c r="J65" s="1024"/>
      <c r="K65" s="1024"/>
      <c r="L65" s="1024"/>
      <c r="M65" s="1024"/>
      <c r="N65" s="936"/>
      <c r="O65" s="937"/>
      <c r="P65" s="1024"/>
      <c r="Q65" s="1024"/>
      <c r="R65" s="1024"/>
      <c r="S65" s="1024"/>
      <c r="T65" s="1034"/>
    </row>
    <row r="66" spans="1:20" x14ac:dyDescent="0.25">
      <c r="A66" s="939" t="s">
        <v>979</v>
      </c>
      <c r="B66" s="1024"/>
      <c r="C66" s="1024"/>
      <c r="D66" s="1025"/>
      <c r="E66" s="1024"/>
      <c r="F66" s="1024"/>
      <c r="G66" s="1025"/>
      <c r="H66" s="1024"/>
      <c r="I66" s="936"/>
      <c r="J66" s="1024"/>
      <c r="K66" s="1024"/>
      <c r="L66" s="1024"/>
      <c r="M66" s="1024"/>
      <c r="N66" s="936"/>
      <c r="O66" s="937"/>
      <c r="P66" s="1024"/>
      <c r="Q66" s="1024"/>
      <c r="R66" s="1024"/>
      <c r="S66" s="1024"/>
      <c r="T66" s="1034"/>
    </row>
    <row r="67" spans="1:20" x14ac:dyDescent="0.25">
      <c r="A67" s="939" t="s">
        <v>980</v>
      </c>
      <c r="B67" s="1024"/>
      <c r="C67" s="1024"/>
      <c r="D67" s="1025"/>
      <c r="E67" s="1024"/>
      <c r="F67" s="1024"/>
      <c r="G67" s="1025"/>
      <c r="H67" s="1024"/>
      <c r="I67" s="936"/>
      <c r="J67" s="1024"/>
      <c r="K67" s="1024"/>
      <c r="L67" s="1024"/>
      <c r="M67" s="1024"/>
      <c r="N67" s="936"/>
      <c r="O67" s="937"/>
      <c r="P67" s="1024"/>
      <c r="Q67" s="1024"/>
      <c r="R67" s="1024"/>
      <c r="S67" s="1024"/>
      <c r="T67" s="1034"/>
    </row>
    <row r="68" spans="1:20" x14ac:dyDescent="0.25">
      <c r="A68" s="939" t="s">
        <v>981</v>
      </c>
      <c r="B68" s="1024"/>
      <c r="C68" s="1024"/>
      <c r="D68" s="1025"/>
      <c r="E68" s="1024"/>
      <c r="F68" s="1024"/>
      <c r="G68" s="1025"/>
      <c r="H68" s="1024"/>
      <c r="I68" s="936"/>
      <c r="J68" s="1024"/>
      <c r="K68" s="1024"/>
      <c r="L68" s="1024"/>
      <c r="M68" s="1024"/>
      <c r="N68" s="936"/>
      <c r="O68" s="937"/>
      <c r="P68" s="1024"/>
      <c r="Q68" s="1024"/>
      <c r="R68" s="1024"/>
      <c r="S68" s="1024"/>
      <c r="T68" s="1034"/>
    </row>
    <row r="69" spans="1:20" x14ac:dyDescent="0.25">
      <c r="A69" s="939" t="s">
        <v>982</v>
      </c>
      <c r="B69" s="1024"/>
      <c r="C69" s="1024"/>
      <c r="D69" s="1025"/>
      <c r="E69" s="1024"/>
      <c r="F69" s="1024"/>
      <c r="G69" s="1025"/>
      <c r="H69" s="1024"/>
      <c r="I69" s="936"/>
      <c r="J69" s="1024"/>
      <c r="K69" s="1024"/>
      <c r="L69" s="1024"/>
      <c r="M69" s="1024"/>
      <c r="N69" s="936"/>
      <c r="O69" s="937"/>
      <c r="P69" s="1024"/>
      <c r="Q69" s="1024"/>
      <c r="R69" s="1024"/>
      <c r="S69" s="1024"/>
      <c r="T69" s="1034"/>
    </row>
    <row r="70" spans="1:20" x14ac:dyDescent="0.25">
      <c r="A70" s="939" t="s">
        <v>983</v>
      </c>
      <c r="B70" s="1024"/>
      <c r="C70" s="1024"/>
      <c r="D70" s="1025"/>
      <c r="E70" s="1024">
        <v>1</v>
      </c>
      <c r="F70" s="1024"/>
      <c r="G70" s="1025"/>
      <c r="H70" s="1024"/>
      <c r="I70" s="936">
        <v>1</v>
      </c>
      <c r="J70" s="1024"/>
      <c r="K70" s="1024"/>
      <c r="L70" s="1024"/>
      <c r="M70" s="1024"/>
      <c r="N70" s="936"/>
      <c r="O70" s="937">
        <v>1</v>
      </c>
      <c r="P70" s="1024">
        <v>1</v>
      </c>
      <c r="Q70" s="1024">
        <v>1</v>
      </c>
      <c r="R70" s="1024"/>
      <c r="S70" s="1024"/>
      <c r="T70" s="1034">
        <v>1</v>
      </c>
    </row>
    <row r="71" spans="1:20" x14ac:dyDescent="0.25">
      <c r="A71" s="939" t="s">
        <v>984</v>
      </c>
      <c r="B71" s="1024"/>
      <c r="C71" s="1024"/>
      <c r="D71" s="1025"/>
      <c r="E71" s="1024"/>
      <c r="F71" s="1024"/>
      <c r="G71" s="1025"/>
      <c r="H71" s="1024"/>
      <c r="I71" s="936"/>
      <c r="J71" s="1024"/>
      <c r="K71" s="1024"/>
      <c r="L71" s="1024"/>
      <c r="M71" s="1024"/>
      <c r="N71" s="936"/>
      <c r="O71" s="937"/>
      <c r="P71" s="1024"/>
      <c r="Q71" s="1024"/>
      <c r="R71" s="1024"/>
      <c r="S71" s="1024"/>
      <c r="T71" s="1034"/>
    </row>
    <row r="72" spans="1:20" x14ac:dyDescent="0.25">
      <c r="A72" s="939" t="s">
        <v>985</v>
      </c>
      <c r="B72" s="1024">
        <v>2</v>
      </c>
      <c r="C72" s="1024">
        <v>1</v>
      </c>
      <c r="D72" s="1025"/>
      <c r="E72" s="1024">
        <v>2</v>
      </c>
      <c r="F72" s="1024"/>
      <c r="G72" s="1025"/>
      <c r="H72" s="1024">
        <v>1</v>
      </c>
      <c r="I72" s="936">
        <v>2</v>
      </c>
      <c r="J72" s="1024"/>
      <c r="K72" s="1024"/>
      <c r="L72" s="1024"/>
      <c r="M72" s="1024"/>
      <c r="N72" s="936"/>
      <c r="O72" s="937">
        <v>2</v>
      </c>
      <c r="P72" s="1024">
        <v>2</v>
      </c>
      <c r="Q72" s="1024">
        <v>2</v>
      </c>
      <c r="R72" s="1024"/>
      <c r="S72" s="1024"/>
      <c r="T72" s="1034">
        <v>2</v>
      </c>
    </row>
    <row r="73" spans="1:20" x14ac:dyDescent="0.25">
      <c r="A73" s="939" t="s">
        <v>986</v>
      </c>
      <c r="B73" s="1024">
        <v>1</v>
      </c>
      <c r="C73" s="1024"/>
      <c r="D73" s="1025"/>
      <c r="E73" s="1024">
        <v>2</v>
      </c>
      <c r="F73" s="1024"/>
      <c r="G73" s="1025"/>
      <c r="H73" s="1024"/>
      <c r="I73" s="936">
        <v>3</v>
      </c>
      <c r="J73" s="1024"/>
      <c r="K73" s="1024"/>
      <c r="L73" s="1024"/>
      <c r="M73" s="1024"/>
      <c r="N73" s="936"/>
      <c r="O73" s="937">
        <v>3</v>
      </c>
      <c r="P73" s="1024"/>
      <c r="Q73" s="1024">
        <v>3</v>
      </c>
      <c r="R73" s="1024"/>
      <c r="S73" s="1024"/>
      <c r="T73" s="1034">
        <v>3</v>
      </c>
    </row>
    <row r="74" spans="1:20" x14ac:dyDescent="0.25">
      <c r="A74" s="939" t="s">
        <v>987</v>
      </c>
      <c r="B74" s="1024"/>
      <c r="C74" s="1024"/>
      <c r="D74" s="1025"/>
      <c r="E74" s="1024"/>
      <c r="F74" s="1024"/>
      <c r="G74" s="1025"/>
      <c r="H74" s="1024"/>
      <c r="I74" s="936"/>
      <c r="J74" s="1024"/>
      <c r="K74" s="1024"/>
      <c r="L74" s="1024"/>
      <c r="M74" s="1024"/>
      <c r="N74" s="936"/>
      <c r="O74" s="937"/>
      <c r="P74" s="1024"/>
      <c r="Q74" s="1024"/>
      <c r="R74" s="1024"/>
      <c r="S74" s="1024"/>
      <c r="T74" s="1034"/>
    </row>
    <row r="75" spans="1:20" x14ac:dyDescent="0.25">
      <c r="A75" s="939" t="s">
        <v>988</v>
      </c>
      <c r="B75" s="1024">
        <v>1</v>
      </c>
      <c r="C75" s="1024">
        <v>1</v>
      </c>
      <c r="D75" s="1025"/>
      <c r="E75" s="1024">
        <v>2</v>
      </c>
      <c r="F75" s="1024"/>
      <c r="G75" s="1025"/>
      <c r="H75" s="1024">
        <v>1</v>
      </c>
      <c r="I75" s="936">
        <v>3</v>
      </c>
      <c r="J75" s="1024"/>
      <c r="K75" s="1024"/>
      <c r="L75" s="1024"/>
      <c r="M75" s="1024"/>
      <c r="N75" s="936"/>
      <c r="O75" s="937">
        <v>3</v>
      </c>
      <c r="P75" s="1024"/>
      <c r="Q75" s="1024">
        <v>3</v>
      </c>
      <c r="R75" s="1024">
        <v>1</v>
      </c>
      <c r="S75" s="1024"/>
      <c r="T75" s="1034">
        <v>3</v>
      </c>
    </row>
    <row r="76" spans="1:20" x14ac:dyDescent="0.25">
      <c r="A76" s="939" t="s">
        <v>989</v>
      </c>
      <c r="B76" s="1024">
        <v>10</v>
      </c>
      <c r="C76" s="1024">
        <v>2</v>
      </c>
      <c r="D76" s="1025"/>
      <c r="E76" s="1024">
        <v>8</v>
      </c>
      <c r="F76" s="1024"/>
      <c r="G76" s="1025"/>
      <c r="H76" s="1024">
        <v>1</v>
      </c>
      <c r="I76" s="936">
        <v>19</v>
      </c>
      <c r="J76" s="1024"/>
      <c r="K76" s="1024"/>
      <c r="L76" s="1024"/>
      <c r="M76" s="1024"/>
      <c r="N76" s="936"/>
      <c r="O76" s="937">
        <v>19</v>
      </c>
      <c r="P76" s="1024">
        <v>8</v>
      </c>
      <c r="Q76" s="1024">
        <v>16</v>
      </c>
      <c r="R76" s="1024">
        <v>1</v>
      </c>
      <c r="S76" s="1024"/>
      <c r="T76" s="1034">
        <v>17</v>
      </c>
    </row>
    <row r="77" spans="1:20" x14ac:dyDescent="0.25">
      <c r="A77" s="939" t="s">
        <v>990</v>
      </c>
      <c r="B77" s="1024"/>
      <c r="C77" s="1024"/>
      <c r="D77" s="1025"/>
      <c r="E77" s="1024">
        <v>1</v>
      </c>
      <c r="F77" s="1024"/>
      <c r="G77" s="1025"/>
      <c r="H77" s="1024"/>
      <c r="I77" s="936">
        <v>1</v>
      </c>
      <c r="J77" s="1024"/>
      <c r="K77" s="1024"/>
      <c r="L77" s="1024"/>
      <c r="M77" s="1024"/>
      <c r="N77" s="936"/>
      <c r="O77" s="937">
        <v>1</v>
      </c>
      <c r="P77" s="1024"/>
      <c r="Q77" s="1024">
        <v>1</v>
      </c>
      <c r="R77" s="1024"/>
      <c r="S77" s="1024"/>
      <c r="T77" s="1034">
        <v>1</v>
      </c>
    </row>
    <row r="78" spans="1:20" x14ac:dyDescent="0.25">
      <c r="A78" s="939" t="s">
        <v>991</v>
      </c>
      <c r="B78" s="1024"/>
      <c r="C78" s="1024"/>
      <c r="D78" s="1025"/>
      <c r="E78" s="1024"/>
      <c r="F78" s="1024"/>
      <c r="G78" s="1025"/>
      <c r="H78" s="1024"/>
      <c r="I78" s="936"/>
      <c r="J78" s="1024"/>
      <c r="K78" s="1024"/>
      <c r="L78" s="1024"/>
      <c r="M78" s="1024"/>
      <c r="N78" s="936"/>
      <c r="O78" s="937"/>
      <c r="P78" s="1024"/>
      <c r="Q78" s="1024"/>
      <c r="R78" s="1024"/>
      <c r="S78" s="1024"/>
      <c r="T78" s="1034"/>
    </row>
    <row r="79" spans="1:20" x14ac:dyDescent="0.25">
      <c r="A79" s="939" t="s">
        <v>992</v>
      </c>
      <c r="B79" s="1024">
        <v>2</v>
      </c>
      <c r="C79" s="1024"/>
      <c r="D79" s="1025"/>
      <c r="E79" s="1024"/>
      <c r="F79" s="1024"/>
      <c r="G79" s="1025"/>
      <c r="H79" s="1024"/>
      <c r="I79" s="936">
        <v>2</v>
      </c>
      <c r="J79" s="1024"/>
      <c r="K79" s="1024"/>
      <c r="L79" s="1024"/>
      <c r="M79" s="1024"/>
      <c r="N79" s="936"/>
      <c r="O79" s="937">
        <v>2</v>
      </c>
      <c r="P79" s="1024">
        <v>2</v>
      </c>
      <c r="Q79" s="1024">
        <v>2</v>
      </c>
      <c r="R79" s="1024"/>
      <c r="S79" s="1024"/>
      <c r="T79" s="1034">
        <v>2</v>
      </c>
    </row>
    <row r="80" spans="1:20" x14ac:dyDescent="0.25">
      <c r="A80" s="939" t="s">
        <v>993</v>
      </c>
      <c r="B80" s="1024"/>
      <c r="C80" s="1024"/>
      <c r="D80" s="1025"/>
      <c r="E80" s="1024"/>
      <c r="F80" s="1024"/>
      <c r="G80" s="1025"/>
      <c r="H80" s="1024"/>
      <c r="I80" s="936"/>
      <c r="J80" s="1024"/>
      <c r="K80" s="1024"/>
      <c r="L80" s="1024"/>
      <c r="M80" s="1024"/>
      <c r="N80" s="936"/>
      <c r="O80" s="937"/>
      <c r="P80" s="1024"/>
      <c r="Q80" s="1024"/>
      <c r="R80" s="1024"/>
      <c r="S80" s="1024"/>
      <c r="T80" s="1034"/>
    </row>
    <row r="81" spans="1:20" x14ac:dyDescent="0.25">
      <c r="A81" s="939" t="s">
        <v>994</v>
      </c>
      <c r="B81" s="1024">
        <v>8</v>
      </c>
      <c r="C81" s="1024"/>
      <c r="D81" s="1025"/>
      <c r="E81" s="1024">
        <v>7</v>
      </c>
      <c r="F81" s="1024"/>
      <c r="G81" s="1025"/>
      <c r="H81" s="1024">
        <v>2</v>
      </c>
      <c r="I81" s="936">
        <v>15</v>
      </c>
      <c r="J81" s="1024"/>
      <c r="K81" s="1024"/>
      <c r="L81" s="1024"/>
      <c r="M81" s="1024"/>
      <c r="N81" s="936"/>
      <c r="O81" s="937">
        <v>15</v>
      </c>
      <c r="P81" s="1024">
        <v>7</v>
      </c>
      <c r="Q81" s="1024">
        <v>15</v>
      </c>
      <c r="R81" s="1024"/>
      <c r="S81" s="1024"/>
      <c r="T81" s="1034">
        <v>15</v>
      </c>
    </row>
    <row r="82" spans="1:20" x14ac:dyDescent="0.25">
      <c r="A82" s="939" t="s">
        <v>995</v>
      </c>
      <c r="B82" s="1024"/>
      <c r="C82" s="1024"/>
      <c r="D82" s="1025"/>
      <c r="E82" s="1024"/>
      <c r="F82" s="1024"/>
      <c r="G82" s="1025"/>
      <c r="H82" s="1024"/>
      <c r="I82" s="936"/>
      <c r="J82" s="1024"/>
      <c r="K82" s="1024"/>
      <c r="L82" s="1024"/>
      <c r="M82" s="1024"/>
      <c r="N82" s="936"/>
      <c r="O82" s="937"/>
      <c r="P82" s="1024"/>
      <c r="Q82" s="1024"/>
      <c r="R82" s="1024"/>
      <c r="S82" s="1024"/>
      <c r="T82" s="1034"/>
    </row>
    <row r="83" spans="1:20" s="948" customFormat="1" x14ac:dyDescent="0.25">
      <c r="A83" s="910" t="s">
        <v>137</v>
      </c>
      <c r="B83" s="914">
        <v>121</v>
      </c>
      <c r="C83" s="914">
        <v>33</v>
      </c>
      <c r="D83" s="1035"/>
      <c r="E83" s="914">
        <v>146</v>
      </c>
      <c r="F83" s="914">
        <v>3</v>
      </c>
      <c r="G83" s="1035"/>
      <c r="H83" s="914">
        <v>31</v>
      </c>
      <c r="I83" s="914">
        <v>251</v>
      </c>
      <c r="J83" s="914"/>
      <c r="K83" s="914"/>
      <c r="L83" s="914">
        <v>1</v>
      </c>
      <c r="M83" s="914"/>
      <c r="N83" s="914">
        <v>1</v>
      </c>
      <c r="O83" s="914">
        <v>251</v>
      </c>
      <c r="P83" s="914">
        <v>98</v>
      </c>
      <c r="Q83" s="914">
        <v>210</v>
      </c>
      <c r="R83" s="914">
        <v>28</v>
      </c>
      <c r="S83" s="914">
        <v>3</v>
      </c>
      <c r="T83" s="914">
        <v>232</v>
      </c>
    </row>
    <row r="84" spans="1:20" s="948" customFormat="1" x14ac:dyDescent="0.25">
      <c r="A84" s="943" t="s">
        <v>996</v>
      </c>
      <c r="B84" s="932">
        <v>8013</v>
      </c>
      <c r="C84" s="932">
        <v>664</v>
      </c>
      <c r="D84" s="1036">
        <v>6</v>
      </c>
      <c r="E84" s="932">
        <v>6822</v>
      </c>
      <c r="F84" s="932">
        <v>548</v>
      </c>
      <c r="G84" s="1036">
        <v>15</v>
      </c>
      <c r="H84" s="932">
        <v>1756</v>
      </c>
      <c r="I84" s="932">
        <v>13441</v>
      </c>
      <c r="J84" s="932">
        <v>76</v>
      </c>
      <c r="K84" s="932">
        <v>0</v>
      </c>
      <c r="L84" s="932">
        <v>4</v>
      </c>
      <c r="M84" s="932">
        <v>12</v>
      </c>
      <c r="N84" s="932">
        <v>83</v>
      </c>
      <c r="O84" s="932">
        <v>13462</v>
      </c>
      <c r="P84" s="932">
        <v>4524</v>
      </c>
      <c r="Q84" s="932">
        <v>11598</v>
      </c>
      <c r="R84" s="932">
        <v>189</v>
      </c>
      <c r="S84" s="932">
        <v>133</v>
      </c>
      <c r="T84" s="932">
        <v>11839</v>
      </c>
    </row>
    <row r="85" spans="1:20" s="948" customFormat="1" x14ac:dyDescent="0.25"/>
    <row r="87" spans="1:20" ht="18.75" x14ac:dyDescent="0.25">
      <c r="A87" s="1056" t="s">
        <v>997</v>
      </c>
      <c r="B87" s="1057"/>
      <c r="C87" s="1057"/>
      <c r="D87" s="1057"/>
      <c r="E87" s="1057"/>
      <c r="F87" s="1057"/>
      <c r="G87" s="1057"/>
      <c r="H87" s="1057"/>
      <c r="I87" s="1057"/>
      <c r="J87" s="1057"/>
      <c r="K87" s="1057"/>
      <c r="L87" s="1057"/>
      <c r="M87" s="1057"/>
      <c r="N87" s="1057"/>
      <c r="O87" s="1057"/>
      <c r="P87" s="1057"/>
      <c r="Q87" s="1057"/>
      <c r="R87" s="1057"/>
      <c r="S87" s="1057"/>
      <c r="T87" s="1058"/>
    </row>
    <row r="88" spans="1:20" s="909" customFormat="1" x14ac:dyDescent="0.25">
      <c r="A88" s="1059" t="s">
        <v>493</v>
      </c>
      <c r="B88" s="1061" t="s">
        <v>1051</v>
      </c>
      <c r="C88" s="1062"/>
      <c r="D88" s="1062"/>
      <c r="E88" s="1062"/>
      <c r="F88" s="1062"/>
      <c r="G88" s="1062"/>
      <c r="H88" s="1062"/>
      <c r="I88" s="1063"/>
      <c r="J88" s="1064" t="s">
        <v>1052</v>
      </c>
      <c r="K88" s="1065"/>
      <c r="L88" s="1065"/>
      <c r="M88" s="1065"/>
      <c r="N88" s="1066"/>
      <c r="O88" s="1067" t="s">
        <v>1053</v>
      </c>
      <c r="P88" s="1068"/>
      <c r="Q88" s="1068"/>
      <c r="R88" s="1068"/>
      <c r="S88" s="1068"/>
      <c r="T88" s="1069"/>
    </row>
    <row r="89" spans="1:20" ht="60" x14ac:dyDescent="0.25">
      <c r="A89" s="1060"/>
      <c r="B89" s="951" t="s">
        <v>909</v>
      </c>
      <c r="C89" s="951" t="s">
        <v>882</v>
      </c>
      <c r="D89" s="951" t="s">
        <v>910</v>
      </c>
      <c r="E89" s="951" t="s">
        <v>883</v>
      </c>
      <c r="F89" s="951" t="s">
        <v>911</v>
      </c>
      <c r="G89" s="951" t="s">
        <v>912</v>
      </c>
      <c r="H89" s="951" t="s">
        <v>913</v>
      </c>
      <c r="I89" s="951" t="s">
        <v>914</v>
      </c>
      <c r="J89" s="952" t="s">
        <v>640</v>
      </c>
      <c r="K89" s="952" t="s">
        <v>882</v>
      </c>
      <c r="L89" s="952" t="s">
        <v>885</v>
      </c>
      <c r="M89" s="952" t="s">
        <v>913</v>
      </c>
      <c r="N89" s="952" t="s">
        <v>915</v>
      </c>
      <c r="O89" s="953" t="s">
        <v>139</v>
      </c>
      <c r="P89" s="953" t="s">
        <v>916</v>
      </c>
      <c r="Q89" s="953" t="s">
        <v>917</v>
      </c>
      <c r="R89" s="953" t="s">
        <v>918</v>
      </c>
      <c r="S89" s="953" t="s">
        <v>919</v>
      </c>
      <c r="T89" s="953" t="s">
        <v>920</v>
      </c>
    </row>
    <row r="90" spans="1:20" x14ac:dyDescent="0.25">
      <c r="A90" s="954" t="s">
        <v>998</v>
      </c>
      <c r="B90" s="1037">
        <v>4271</v>
      </c>
      <c r="C90" s="1037">
        <v>176</v>
      </c>
      <c r="D90" s="1038">
        <v>2</v>
      </c>
      <c r="E90" s="1037">
        <v>1970</v>
      </c>
      <c r="F90" s="1037">
        <v>144</v>
      </c>
      <c r="G90" s="1038">
        <v>14</v>
      </c>
      <c r="H90" s="1037">
        <v>584</v>
      </c>
      <c r="I90" s="1039">
        <v>6031</v>
      </c>
      <c r="J90" s="1037">
        <v>30</v>
      </c>
      <c r="K90" s="1037"/>
      <c r="L90" s="1037">
        <v>1</v>
      </c>
      <c r="M90" s="1037">
        <v>6</v>
      </c>
      <c r="N90" s="1039">
        <v>34</v>
      </c>
      <c r="O90" s="1040">
        <v>6041</v>
      </c>
      <c r="P90" s="1037">
        <v>1746</v>
      </c>
      <c r="Q90" s="1037">
        <v>5715</v>
      </c>
      <c r="R90" s="1037">
        <v>44</v>
      </c>
      <c r="S90" s="1037">
        <v>67</v>
      </c>
      <c r="T90" s="1040">
        <v>5813</v>
      </c>
    </row>
    <row r="91" spans="1:20" x14ac:dyDescent="0.25">
      <c r="A91" s="954" t="s">
        <v>999</v>
      </c>
      <c r="B91" s="1037">
        <v>2353</v>
      </c>
      <c r="C91" s="1037">
        <v>214</v>
      </c>
      <c r="D91" s="1038">
        <v>4</v>
      </c>
      <c r="E91" s="1037">
        <v>1924</v>
      </c>
      <c r="F91" s="1037">
        <v>123</v>
      </c>
      <c r="G91" s="1038">
        <v>1</v>
      </c>
      <c r="H91" s="1037">
        <v>626</v>
      </c>
      <c r="I91" s="1039">
        <v>3996</v>
      </c>
      <c r="J91" s="1037">
        <v>43</v>
      </c>
      <c r="K91" s="1037"/>
      <c r="L91" s="1037">
        <v>2</v>
      </c>
      <c r="M91" s="1037">
        <v>6</v>
      </c>
      <c r="N91" s="1039">
        <v>45</v>
      </c>
      <c r="O91" s="1040">
        <v>4011</v>
      </c>
      <c r="P91" s="1037">
        <v>1632</v>
      </c>
      <c r="Q91" s="1037">
        <v>3553</v>
      </c>
      <c r="R91" s="1037">
        <v>102</v>
      </c>
      <c r="S91" s="1037">
        <v>45</v>
      </c>
      <c r="T91" s="1040">
        <v>3658</v>
      </c>
    </row>
    <row r="92" spans="1:20" x14ac:dyDescent="0.25">
      <c r="A92" s="954" t="s">
        <v>1000</v>
      </c>
      <c r="B92" s="1037">
        <v>1609</v>
      </c>
      <c r="C92" s="1037">
        <v>248</v>
      </c>
      <c r="D92" s="1038"/>
      <c r="E92" s="1037">
        <v>2820</v>
      </c>
      <c r="F92" s="1037">
        <v>279</v>
      </c>
      <c r="G92" s="1038"/>
      <c r="H92" s="1037">
        <v>549</v>
      </c>
      <c r="I92" s="1039">
        <v>4107</v>
      </c>
      <c r="J92" s="1037">
        <v>3</v>
      </c>
      <c r="K92" s="1037"/>
      <c r="L92" s="1037"/>
      <c r="M92" s="1037"/>
      <c r="N92" s="1039">
        <v>3</v>
      </c>
      <c r="O92" s="1040">
        <v>4108</v>
      </c>
      <c r="P92" s="1037">
        <v>1272</v>
      </c>
      <c r="Q92" s="1037">
        <v>2831</v>
      </c>
      <c r="R92" s="1037">
        <v>17</v>
      </c>
      <c r="S92" s="1037">
        <v>18</v>
      </c>
      <c r="T92" s="1040">
        <v>2865</v>
      </c>
    </row>
    <row r="93" spans="1:20" s="948" customFormat="1" x14ac:dyDescent="0.25">
      <c r="A93" s="957" t="s">
        <v>116</v>
      </c>
      <c r="B93" s="914">
        <v>7897</v>
      </c>
      <c r="C93" s="914">
        <v>631</v>
      </c>
      <c r="D93" s="1035">
        <v>6</v>
      </c>
      <c r="E93" s="914">
        <v>6677</v>
      </c>
      <c r="F93" s="914">
        <v>545</v>
      </c>
      <c r="G93" s="1035">
        <v>15</v>
      </c>
      <c r="H93" s="914">
        <v>1727</v>
      </c>
      <c r="I93" s="1041">
        <v>13198</v>
      </c>
      <c r="J93" s="914">
        <v>76</v>
      </c>
      <c r="K93" s="914"/>
      <c r="L93" s="914">
        <v>3</v>
      </c>
      <c r="M93" s="914">
        <v>12</v>
      </c>
      <c r="N93" s="1041">
        <v>82</v>
      </c>
      <c r="O93" s="914">
        <v>13219</v>
      </c>
      <c r="P93" s="914">
        <v>4429</v>
      </c>
      <c r="Q93" s="914">
        <v>11393</v>
      </c>
      <c r="R93" s="914">
        <v>162</v>
      </c>
      <c r="S93" s="914">
        <v>130</v>
      </c>
      <c r="T93" s="914">
        <v>11614</v>
      </c>
    </row>
    <row r="94" spans="1:20" s="948" customFormat="1" x14ac:dyDescent="0.25">
      <c r="A94" s="957" t="s">
        <v>137</v>
      </c>
      <c r="B94" s="914">
        <v>121</v>
      </c>
      <c r="C94" s="914">
        <v>33</v>
      </c>
      <c r="D94" s="1035"/>
      <c r="E94" s="914">
        <v>146</v>
      </c>
      <c r="F94" s="914">
        <v>3</v>
      </c>
      <c r="G94" s="1035"/>
      <c r="H94" s="914">
        <v>31</v>
      </c>
      <c r="I94" s="1042">
        <v>251</v>
      </c>
      <c r="J94" s="914"/>
      <c r="K94" s="914"/>
      <c r="L94" s="914">
        <v>1</v>
      </c>
      <c r="M94" s="914"/>
      <c r="N94" s="1042">
        <v>1</v>
      </c>
      <c r="O94" s="914">
        <v>251</v>
      </c>
      <c r="P94" s="914">
        <v>98</v>
      </c>
      <c r="Q94" s="914">
        <v>210</v>
      </c>
      <c r="R94" s="914">
        <v>28</v>
      </c>
      <c r="S94" s="914">
        <v>3</v>
      </c>
      <c r="T94" s="914">
        <v>232</v>
      </c>
    </row>
    <row r="95" spans="1:20" s="948" customFormat="1" x14ac:dyDescent="0.25">
      <c r="A95" s="960" t="s">
        <v>996</v>
      </c>
      <c r="B95" s="932">
        <v>8013</v>
      </c>
      <c r="C95" s="932">
        <v>664</v>
      </c>
      <c r="D95" s="1036">
        <v>6</v>
      </c>
      <c r="E95" s="932">
        <v>6822</v>
      </c>
      <c r="F95" s="932">
        <v>548</v>
      </c>
      <c r="G95" s="1036">
        <v>15</v>
      </c>
      <c r="H95" s="932">
        <v>1756</v>
      </c>
      <c r="I95" s="1043">
        <v>13441</v>
      </c>
      <c r="J95" s="932">
        <v>76</v>
      </c>
      <c r="K95" s="932">
        <v>0</v>
      </c>
      <c r="L95" s="932">
        <v>4</v>
      </c>
      <c r="M95" s="932">
        <v>12</v>
      </c>
      <c r="N95" s="1043">
        <v>83</v>
      </c>
      <c r="O95" s="932">
        <v>13462</v>
      </c>
      <c r="P95" s="932">
        <v>4524</v>
      </c>
      <c r="Q95" s="932">
        <v>11598</v>
      </c>
      <c r="R95" s="932">
        <v>189</v>
      </c>
      <c r="S95" s="932">
        <v>133</v>
      </c>
      <c r="T95" s="932">
        <v>11839</v>
      </c>
    </row>
    <row r="99" spans="1:20" ht="18.75" x14ac:dyDescent="0.25">
      <c r="A99" s="1056" t="s">
        <v>1001</v>
      </c>
      <c r="B99" s="1057"/>
      <c r="C99" s="1057"/>
      <c r="D99" s="1057"/>
      <c r="E99" s="1057"/>
      <c r="F99" s="1057"/>
      <c r="G99" s="1057"/>
      <c r="H99" s="1057"/>
      <c r="I99" s="1057"/>
      <c r="J99" s="1057"/>
      <c r="K99" s="1057"/>
      <c r="L99" s="1057"/>
      <c r="M99" s="1057"/>
      <c r="N99" s="1057"/>
      <c r="O99" s="1057"/>
      <c r="P99" s="1057"/>
      <c r="Q99" s="1057"/>
      <c r="R99" s="1057"/>
      <c r="S99" s="1057"/>
      <c r="T99" s="1058"/>
    </row>
    <row r="100" spans="1:20" s="909" customFormat="1" x14ac:dyDescent="0.25">
      <c r="A100" s="1059" t="s">
        <v>493</v>
      </c>
      <c r="B100" s="1061" t="s">
        <v>1051</v>
      </c>
      <c r="C100" s="1062"/>
      <c r="D100" s="1062"/>
      <c r="E100" s="1062"/>
      <c r="F100" s="1062"/>
      <c r="G100" s="1062"/>
      <c r="H100" s="1062"/>
      <c r="I100" s="1063"/>
      <c r="J100" s="1064" t="s">
        <v>1052</v>
      </c>
      <c r="K100" s="1065"/>
      <c r="L100" s="1065"/>
      <c r="M100" s="1065"/>
      <c r="N100" s="1066"/>
      <c r="O100" s="1067" t="s">
        <v>1053</v>
      </c>
      <c r="P100" s="1068"/>
      <c r="Q100" s="1068"/>
      <c r="R100" s="1068"/>
      <c r="S100" s="1068"/>
      <c r="T100" s="1069"/>
    </row>
    <row r="101" spans="1:20" ht="60" x14ac:dyDescent="0.25">
      <c r="A101" s="1060"/>
      <c r="B101" s="951" t="s">
        <v>909</v>
      </c>
      <c r="C101" s="951" t="s">
        <v>882</v>
      </c>
      <c r="D101" s="951" t="s">
        <v>910</v>
      </c>
      <c r="E101" s="951" t="s">
        <v>883</v>
      </c>
      <c r="F101" s="951" t="s">
        <v>911</v>
      </c>
      <c r="G101" s="951" t="s">
        <v>912</v>
      </c>
      <c r="H101" s="951" t="s">
        <v>913</v>
      </c>
      <c r="I101" s="951" t="s">
        <v>914</v>
      </c>
      <c r="J101" s="952" t="s">
        <v>640</v>
      </c>
      <c r="K101" s="952" t="s">
        <v>882</v>
      </c>
      <c r="L101" s="952" t="s">
        <v>885</v>
      </c>
      <c r="M101" s="952" t="s">
        <v>913</v>
      </c>
      <c r="N101" s="952" t="s">
        <v>915</v>
      </c>
      <c r="O101" s="953" t="s">
        <v>139</v>
      </c>
      <c r="P101" s="953" t="s">
        <v>916</v>
      </c>
      <c r="Q101" s="953" t="s">
        <v>917</v>
      </c>
      <c r="R101" s="953" t="s">
        <v>918</v>
      </c>
      <c r="S101" s="953" t="s">
        <v>919</v>
      </c>
      <c r="T101" s="953" t="s">
        <v>920</v>
      </c>
    </row>
    <row r="102" spans="1:20" x14ac:dyDescent="0.25">
      <c r="A102" s="957" t="s">
        <v>110</v>
      </c>
      <c r="B102" s="1022">
        <v>929</v>
      </c>
      <c r="C102" s="1022">
        <v>343</v>
      </c>
      <c r="D102" s="1023">
        <v>10</v>
      </c>
      <c r="E102" s="1022">
        <v>909</v>
      </c>
      <c r="F102" s="1022">
        <v>124</v>
      </c>
      <c r="G102" s="1023">
        <v>8</v>
      </c>
      <c r="H102" s="1022">
        <v>303</v>
      </c>
      <c r="I102" s="914">
        <v>1527</v>
      </c>
      <c r="J102" s="1022">
        <v>93</v>
      </c>
      <c r="K102" s="1022">
        <v>17</v>
      </c>
      <c r="L102" s="1022">
        <v>27</v>
      </c>
      <c r="M102" s="1022">
        <v>21</v>
      </c>
      <c r="N102" s="914">
        <v>127</v>
      </c>
      <c r="O102" s="914">
        <v>1545</v>
      </c>
      <c r="P102" s="1022">
        <v>783</v>
      </c>
      <c r="Q102" s="1022">
        <v>1011</v>
      </c>
      <c r="R102" s="1022">
        <v>464</v>
      </c>
      <c r="S102" s="1022">
        <v>83</v>
      </c>
      <c r="T102" s="1022">
        <v>1515</v>
      </c>
    </row>
    <row r="103" spans="1:20" x14ac:dyDescent="0.25">
      <c r="A103" s="962" t="s">
        <v>922</v>
      </c>
      <c r="B103" s="1037">
        <v>912</v>
      </c>
      <c r="C103" s="1037">
        <v>336</v>
      </c>
      <c r="D103" s="1038">
        <v>10</v>
      </c>
      <c r="E103" s="1037">
        <v>884</v>
      </c>
      <c r="F103" s="1037">
        <v>123</v>
      </c>
      <c r="G103" s="1038">
        <v>8</v>
      </c>
      <c r="H103" s="1037">
        <v>296</v>
      </c>
      <c r="I103" s="921">
        <v>1493</v>
      </c>
      <c r="J103" s="1037">
        <v>92</v>
      </c>
      <c r="K103" s="1037">
        <v>17</v>
      </c>
      <c r="L103" s="1037">
        <v>26</v>
      </c>
      <c r="M103" s="1037">
        <v>21</v>
      </c>
      <c r="N103" s="921">
        <v>126</v>
      </c>
      <c r="O103" s="922">
        <v>1511</v>
      </c>
      <c r="P103" s="1037">
        <v>769</v>
      </c>
      <c r="Q103" s="1037">
        <v>985</v>
      </c>
      <c r="R103" s="1037">
        <v>453</v>
      </c>
      <c r="S103" s="1037">
        <v>83</v>
      </c>
      <c r="T103" s="1026">
        <v>1481</v>
      </c>
    </row>
    <row r="104" spans="1:20" x14ac:dyDescent="0.25">
      <c r="A104" s="962" t="s">
        <v>923</v>
      </c>
      <c r="B104" s="1037">
        <v>1</v>
      </c>
      <c r="C104" s="1037"/>
      <c r="D104" s="1038"/>
      <c r="E104" s="1037"/>
      <c r="F104" s="1037"/>
      <c r="G104" s="1038"/>
      <c r="H104" s="1037">
        <v>1</v>
      </c>
      <c r="I104" s="921">
        <v>2</v>
      </c>
      <c r="J104" s="1037"/>
      <c r="K104" s="1037"/>
      <c r="L104" s="1037"/>
      <c r="M104" s="1037"/>
      <c r="N104" s="921"/>
      <c r="O104" s="922">
        <v>2</v>
      </c>
      <c r="P104" s="1037">
        <v>1</v>
      </c>
      <c r="Q104" s="1037">
        <v>1</v>
      </c>
      <c r="R104" s="1037">
        <v>1</v>
      </c>
      <c r="S104" s="1037"/>
      <c r="T104" s="1026">
        <v>2</v>
      </c>
    </row>
    <row r="105" spans="1:20" x14ac:dyDescent="0.25">
      <c r="A105" s="962" t="s">
        <v>924</v>
      </c>
      <c r="B105" s="1037"/>
      <c r="C105" s="1037"/>
      <c r="D105" s="1038"/>
      <c r="E105" s="1037"/>
      <c r="F105" s="1037"/>
      <c r="G105" s="1038"/>
      <c r="H105" s="1037"/>
      <c r="I105" s="921"/>
      <c r="J105" s="1037"/>
      <c r="K105" s="1037"/>
      <c r="L105" s="1037"/>
      <c r="M105" s="1037"/>
      <c r="N105" s="921"/>
      <c r="O105" s="922"/>
      <c r="P105" s="1037"/>
      <c r="Q105" s="1037"/>
      <c r="R105" s="1037"/>
      <c r="S105" s="1037"/>
      <c r="T105" s="1026"/>
    </row>
    <row r="106" spans="1:20" x14ac:dyDescent="0.25">
      <c r="A106" s="962" t="s">
        <v>925</v>
      </c>
      <c r="B106" s="1037">
        <v>1</v>
      </c>
      <c r="C106" s="1037">
        <v>1</v>
      </c>
      <c r="D106" s="1038"/>
      <c r="E106" s="1037">
        <v>1</v>
      </c>
      <c r="F106" s="1037"/>
      <c r="G106" s="1038"/>
      <c r="H106" s="1037"/>
      <c r="I106" s="921">
        <v>2</v>
      </c>
      <c r="J106" s="1037"/>
      <c r="K106" s="1037"/>
      <c r="L106" s="1037"/>
      <c r="M106" s="1037"/>
      <c r="N106" s="921"/>
      <c r="O106" s="922">
        <v>2</v>
      </c>
      <c r="P106" s="1037">
        <v>1</v>
      </c>
      <c r="Q106" s="1037">
        <v>1</v>
      </c>
      <c r="R106" s="1037">
        <v>1</v>
      </c>
      <c r="S106" s="1037"/>
      <c r="T106" s="1026">
        <v>2</v>
      </c>
    </row>
    <row r="107" spans="1:20" x14ac:dyDescent="0.25">
      <c r="A107" s="962" t="s">
        <v>926</v>
      </c>
      <c r="B107" s="1037"/>
      <c r="C107" s="1037"/>
      <c r="D107" s="1038"/>
      <c r="E107" s="1037"/>
      <c r="F107" s="1037"/>
      <c r="G107" s="1038"/>
      <c r="H107" s="1037"/>
      <c r="I107" s="921"/>
      <c r="J107" s="1037"/>
      <c r="K107" s="1037"/>
      <c r="L107" s="1037"/>
      <c r="M107" s="1037"/>
      <c r="N107" s="921"/>
      <c r="O107" s="922"/>
      <c r="P107" s="1037"/>
      <c r="Q107" s="1037"/>
      <c r="R107" s="1037"/>
      <c r="S107" s="1037"/>
      <c r="T107" s="1026"/>
    </row>
    <row r="108" spans="1:20" x14ac:dyDescent="0.25">
      <c r="A108" s="962" t="s">
        <v>927</v>
      </c>
      <c r="B108" s="1037">
        <v>15</v>
      </c>
      <c r="C108" s="1037">
        <v>6</v>
      </c>
      <c r="D108" s="1038"/>
      <c r="E108" s="1037">
        <v>24</v>
      </c>
      <c r="F108" s="1037">
        <v>1</v>
      </c>
      <c r="G108" s="1038"/>
      <c r="H108" s="1037">
        <v>6</v>
      </c>
      <c r="I108" s="921">
        <v>30</v>
      </c>
      <c r="J108" s="1037">
        <v>1</v>
      </c>
      <c r="K108" s="1037"/>
      <c r="L108" s="1037">
        <v>1</v>
      </c>
      <c r="M108" s="1037"/>
      <c r="N108" s="921">
        <v>1</v>
      </c>
      <c r="O108" s="922">
        <v>30</v>
      </c>
      <c r="P108" s="1037">
        <v>12</v>
      </c>
      <c r="Q108" s="1037">
        <v>24</v>
      </c>
      <c r="R108" s="1037">
        <v>9</v>
      </c>
      <c r="S108" s="1037"/>
      <c r="T108" s="1026">
        <v>30</v>
      </c>
    </row>
    <row r="109" spans="1:20" x14ac:dyDescent="0.25">
      <c r="A109" s="957" t="s">
        <v>928</v>
      </c>
      <c r="B109" s="1022">
        <v>481</v>
      </c>
      <c r="C109" s="1022">
        <v>182</v>
      </c>
      <c r="D109" s="1023">
        <v>8</v>
      </c>
      <c r="E109" s="1022">
        <v>441</v>
      </c>
      <c r="F109" s="1022">
        <v>58</v>
      </c>
      <c r="G109" s="1023">
        <v>11</v>
      </c>
      <c r="H109" s="1022">
        <v>119</v>
      </c>
      <c r="I109" s="914">
        <v>706</v>
      </c>
      <c r="J109" s="1022">
        <v>74</v>
      </c>
      <c r="K109" s="1022">
        <v>29</v>
      </c>
      <c r="L109" s="1022">
        <v>31</v>
      </c>
      <c r="M109" s="1022">
        <v>7</v>
      </c>
      <c r="N109" s="914">
        <v>104</v>
      </c>
      <c r="O109" s="914">
        <v>733</v>
      </c>
      <c r="P109" s="1022">
        <v>459</v>
      </c>
      <c r="Q109" s="1022">
        <v>364</v>
      </c>
      <c r="R109" s="1022">
        <v>227</v>
      </c>
      <c r="S109" s="1022">
        <v>120</v>
      </c>
      <c r="T109" s="1022">
        <v>689</v>
      </c>
    </row>
    <row r="110" spans="1:20" x14ac:dyDescent="0.25">
      <c r="A110" s="962" t="s">
        <v>929</v>
      </c>
      <c r="B110" s="1037">
        <v>110</v>
      </c>
      <c r="C110" s="1037">
        <v>54</v>
      </c>
      <c r="D110" s="1038">
        <v>5</v>
      </c>
      <c r="E110" s="1037">
        <v>95</v>
      </c>
      <c r="F110" s="1037">
        <v>28</v>
      </c>
      <c r="G110" s="1038">
        <v>9</v>
      </c>
      <c r="H110" s="1037">
        <v>34</v>
      </c>
      <c r="I110" s="921">
        <v>144</v>
      </c>
      <c r="J110" s="1037">
        <v>24</v>
      </c>
      <c r="K110" s="1037">
        <v>6</v>
      </c>
      <c r="L110" s="1037">
        <v>6</v>
      </c>
      <c r="M110" s="1037">
        <v>1</v>
      </c>
      <c r="N110" s="921">
        <v>28</v>
      </c>
      <c r="O110" s="922">
        <v>150</v>
      </c>
      <c r="P110" s="1037">
        <v>112</v>
      </c>
      <c r="Q110" s="1037">
        <v>27</v>
      </c>
      <c r="R110" s="1037">
        <v>75</v>
      </c>
      <c r="S110" s="1037">
        <v>46</v>
      </c>
      <c r="T110" s="1026">
        <v>143</v>
      </c>
    </row>
    <row r="111" spans="1:20" x14ac:dyDescent="0.25">
      <c r="A111" s="962" t="s">
        <v>930</v>
      </c>
      <c r="B111" s="1037">
        <v>58</v>
      </c>
      <c r="C111" s="1037">
        <v>18</v>
      </c>
      <c r="D111" s="1038"/>
      <c r="E111" s="1037">
        <v>61</v>
      </c>
      <c r="F111" s="1037">
        <v>9</v>
      </c>
      <c r="G111" s="1038">
        <v>1</v>
      </c>
      <c r="H111" s="1037">
        <v>23</v>
      </c>
      <c r="I111" s="921">
        <v>96</v>
      </c>
      <c r="J111" s="1037">
        <v>13</v>
      </c>
      <c r="K111" s="1037">
        <v>3</v>
      </c>
      <c r="L111" s="1037">
        <v>8</v>
      </c>
      <c r="M111" s="1037">
        <v>1</v>
      </c>
      <c r="N111" s="921">
        <v>18</v>
      </c>
      <c r="O111" s="922">
        <v>104</v>
      </c>
      <c r="P111" s="1037">
        <v>67</v>
      </c>
      <c r="Q111" s="1037">
        <v>73</v>
      </c>
      <c r="R111" s="1037">
        <v>22</v>
      </c>
      <c r="S111" s="1037">
        <v>4</v>
      </c>
      <c r="T111" s="1026">
        <v>98</v>
      </c>
    </row>
    <row r="112" spans="1:20" x14ac:dyDescent="0.25">
      <c r="A112" s="962" t="s">
        <v>931</v>
      </c>
      <c r="B112" s="1037">
        <v>2</v>
      </c>
      <c r="C112" s="1037">
        <v>1</v>
      </c>
      <c r="D112" s="1038"/>
      <c r="E112" s="1037">
        <v>5</v>
      </c>
      <c r="F112" s="1037"/>
      <c r="G112" s="1038"/>
      <c r="H112" s="1037">
        <v>1</v>
      </c>
      <c r="I112" s="921">
        <v>7</v>
      </c>
      <c r="J112" s="1037">
        <v>1</v>
      </c>
      <c r="K112" s="1037"/>
      <c r="L112" s="1037">
        <v>1</v>
      </c>
      <c r="M112" s="1037"/>
      <c r="N112" s="921">
        <v>1</v>
      </c>
      <c r="O112" s="922">
        <v>7</v>
      </c>
      <c r="P112" s="1037">
        <v>5</v>
      </c>
      <c r="Q112" s="1037">
        <v>4</v>
      </c>
      <c r="R112" s="1037">
        <v>2</v>
      </c>
      <c r="S112" s="1037"/>
      <c r="T112" s="1026">
        <v>6</v>
      </c>
    </row>
    <row r="113" spans="1:20" x14ac:dyDescent="0.25">
      <c r="A113" s="962" t="s">
        <v>932</v>
      </c>
      <c r="B113" s="1037"/>
      <c r="C113" s="1037"/>
      <c r="D113" s="1038"/>
      <c r="E113" s="1037"/>
      <c r="F113" s="1037"/>
      <c r="G113" s="1038"/>
      <c r="H113" s="1037"/>
      <c r="I113" s="921"/>
      <c r="J113" s="1037"/>
      <c r="K113" s="1037"/>
      <c r="L113" s="1037"/>
      <c r="M113" s="1037"/>
      <c r="N113" s="921"/>
      <c r="O113" s="922"/>
      <c r="P113" s="1037"/>
      <c r="Q113" s="1037"/>
      <c r="R113" s="1037"/>
      <c r="S113" s="1037"/>
      <c r="T113" s="1026"/>
    </row>
    <row r="114" spans="1:20" x14ac:dyDescent="0.25">
      <c r="A114" s="962" t="s">
        <v>933</v>
      </c>
      <c r="B114" s="1037">
        <v>15</v>
      </c>
      <c r="C114" s="1037">
        <v>2</v>
      </c>
      <c r="D114" s="1038"/>
      <c r="E114" s="1037">
        <v>14</v>
      </c>
      <c r="F114" s="1037">
        <v>1</v>
      </c>
      <c r="G114" s="1038"/>
      <c r="H114" s="1037">
        <v>7</v>
      </c>
      <c r="I114" s="921">
        <v>22</v>
      </c>
      <c r="J114" s="1037">
        <v>1</v>
      </c>
      <c r="K114" s="1037"/>
      <c r="L114" s="1037"/>
      <c r="M114" s="1037"/>
      <c r="N114" s="921">
        <v>1</v>
      </c>
      <c r="O114" s="922">
        <v>23</v>
      </c>
      <c r="P114" s="1037">
        <v>12</v>
      </c>
      <c r="Q114" s="1037">
        <v>19</v>
      </c>
      <c r="R114" s="1037">
        <v>4</v>
      </c>
      <c r="S114" s="1037">
        <v>1</v>
      </c>
      <c r="T114" s="1026">
        <v>23</v>
      </c>
    </row>
    <row r="115" spans="1:20" x14ac:dyDescent="0.25">
      <c r="A115" s="962" t="s">
        <v>934</v>
      </c>
      <c r="B115" s="1037">
        <v>105</v>
      </c>
      <c r="C115" s="1037">
        <v>49</v>
      </c>
      <c r="D115" s="1038">
        <v>1</v>
      </c>
      <c r="E115" s="1037">
        <v>92</v>
      </c>
      <c r="F115" s="1037">
        <v>11</v>
      </c>
      <c r="G115" s="1038"/>
      <c r="H115" s="1037">
        <v>28</v>
      </c>
      <c r="I115" s="921">
        <v>144</v>
      </c>
      <c r="J115" s="1037">
        <v>12</v>
      </c>
      <c r="K115" s="1037">
        <v>3</v>
      </c>
      <c r="L115" s="1037">
        <v>9</v>
      </c>
      <c r="M115" s="1037">
        <v>4</v>
      </c>
      <c r="N115" s="921">
        <v>24</v>
      </c>
      <c r="O115" s="922">
        <v>149</v>
      </c>
      <c r="P115" s="1037">
        <v>100</v>
      </c>
      <c r="Q115" s="1037">
        <v>61</v>
      </c>
      <c r="R115" s="1037">
        <v>49</v>
      </c>
      <c r="S115" s="1037">
        <v>33</v>
      </c>
      <c r="T115" s="1026">
        <v>136</v>
      </c>
    </row>
    <row r="116" spans="1:20" x14ac:dyDescent="0.25">
      <c r="A116" s="962" t="s">
        <v>935</v>
      </c>
      <c r="B116" s="1037">
        <v>144</v>
      </c>
      <c r="C116" s="1037">
        <v>50</v>
      </c>
      <c r="D116" s="1038">
        <v>2</v>
      </c>
      <c r="E116" s="1037">
        <v>144</v>
      </c>
      <c r="F116" s="1037">
        <v>7</v>
      </c>
      <c r="G116" s="1038"/>
      <c r="H116" s="1037">
        <v>19</v>
      </c>
      <c r="I116" s="921">
        <v>228</v>
      </c>
      <c r="J116" s="1037">
        <v>19</v>
      </c>
      <c r="K116" s="1037">
        <v>12</v>
      </c>
      <c r="L116" s="1037">
        <v>7</v>
      </c>
      <c r="M116" s="1037">
        <v>1</v>
      </c>
      <c r="N116" s="921">
        <v>24</v>
      </c>
      <c r="O116" s="922">
        <v>232</v>
      </c>
      <c r="P116" s="1037">
        <v>129</v>
      </c>
      <c r="Q116" s="1037">
        <v>135</v>
      </c>
      <c r="R116" s="1037">
        <v>56</v>
      </c>
      <c r="S116" s="1037">
        <v>34</v>
      </c>
      <c r="T116" s="1026">
        <v>218</v>
      </c>
    </row>
    <row r="117" spans="1:20" x14ac:dyDescent="0.25">
      <c r="A117" s="962" t="s">
        <v>936</v>
      </c>
      <c r="B117" s="1037">
        <v>20</v>
      </c>
      <c r="C117" s="1037">
        <v>3</v>
      </c>
      <c r="D117" s="1038"/>
      <c r="E117" s="1037">
        <v>11</v>
      </c>
      <c r="F117" s="1037">
        <v>1</v>
      </c>
      <c r="G117" s="1038"/>
      <c r="H117" s="1037">
        <v>3</v>
      </c>
      <c r="I117" s="921">
        <v>28</v>
      </c>
      <c r="J117" s="1037">
        <v>3</v>
      </c>
      <c r="K117" s="1037">
        <v>4</v>
      </c>
      <c r="L117" s="1037"/>
      <c r="M117" s="1037"/>
      <c r="N117" s="921">
        <v>6</v>
      </c>
      <c r="O117" s="922">
        <v>30</v>
      </c>
      <c r="P117" s="1037">
        <v>13</v>
      </c>
      <c r="Q117" s="1037">
        <v>23</v>
      </c>
      <c r="R117" s="1037">
        <v>7</v>
      </c>
      <c r="S117" s="1037"/>
      <c r="T117" s="1026">
        <v>29</v>
      </c>
    </row>
    <row r="118" spans="1:20" x14ac:dyDescent="0.25">
      <c r="A118" s="962" t="s">
        <v>937</v>
      </c>
      <c r="B118" s="1037">
        <v>4</v>
      </c>
      <c r="C118" s="1037"/>
      <c r="D118" s="1038"/>
      <c r="E118" s="1037">
        <v>3</v>
      </c>
      <c r="F118" s="1037"/>
      <c r="G118" s="1038"/>
      <c r="H118" s="1037">
        <v>1</v>
      </c>
      <c r="I118" s="921">
        <v>5</v>
      </c>
      <c r="J118" s="1037"/>
      <c r="K118" s="1037"/>
      <c r="L118" s="1037"/>
      <c r="M118" s="1037"/>
      <c r="N118" s="921"/>
      <c r="O118" s="922">
        <v>5</v>
      </c>
      <c r="P118" s="1037">
        <v>4</v>
      </c>
      <c r="Q118" s="1037">
        <v>3</v>
      </c>
      <c r="R118" s="1037">
        <v>1</v>
      </c>
      <c r="S118" s="1037">
        <v>1</v>
      </c>
      <c r="T118" s="1026">
        <v>5</v>
      </c>
    </row>
    <row r="119" spans="1:20" x14ac:dyDescent="0.25">
      <c r="A119" s="962" t="s">
        <v>938</v>
      </c>
      <c r="B119" s="1037"/>
      <c r="C119" s="1037"/>
      <c r="D119" s="1038"/>
      <c r="E119" s="1037"/>
      <c r="F119" s="1037"/>
      <c r="G119" s="1038"/>
      <c r="H119" s="1037"/>
      <c r="I119" s="921"/>
      <c r="J119" s="1037"/>
      <c r="K119" s="1037"/>
      <c r="L119" s="1037"/>
      <c r="M119" s="1037"/>
      <c r="N119" s="921"/>
      <c r="O119" s="922"/>
      <c r="P119" s="1037"/>
      <c r="Q119" s="1037"/>
      <c r="R119" s="1037"/>
      <c r="S119" s="1037"/>
      <c r="T119" s="1026"/>
    </row>
    <row r="120" spans="1:20" x14ac:dyDescent="0.25">
      <c r="A120" s="962" t="s">
        <v>939</v>
      </c>
      <c r="B120" s="1037">
        <v>23</v>
      </c>
      <c r="C120" s="1037">
        <v>5</v>
      </c>
      <c r="D120" s="1038"/>
      <c r="E120" s="1037">
        <v>16</v>
      </c>
      <c r="F120" s="1037">
        <v>1</v>
      </c>
      <c r="G120" s="1038">
        <v>1</v>
      </c>
      <c r="H120" s="1037">
        <v>3</v>
      </c>
      <c r="I120" s="921">
        <v>32</v>
      </c>
      <c r="J120" s="1037">
        <v>1</v>
      </c>
      <c r="K120" s="1037">
        <v>1</v>
      </c>
      <c r="L120" s="1037"/>
      <c r="M120" s="1037"/>
      <c r="N120" s="921">
        <v>2</v>
      </c>
      <c r="O120" s="922">
        <v>33</v>
      </c>
      <c r="P120" s="1037">
        <v>17</v>
      </c>
      <c r="Q120" s="1037">
        <v>19</v>
      </c>
      <c r="R120" s="1037">
        <v>11</v>
      </c>
      <c r="S120" s="1037">
        <v>1</v>
      </c>
      <c r="T120" s="1026">
        <v>31</v>
      </c>
    </row>
    <row r="121" spans="1:20" x14ac:dyDescent="0.25">
      <c r="A121" s="962" t="s">
        <v>940</v>
      </c>
      <c r="B121" s="1037"/>
      <c r="C121" s="1037"/>
      <c r="D121" s="1038"/>
      <c r="E121" s="1037"/>
      <c r="F121" s="1037"/>
      <c r="G121" s="1038"/>
      <c r="H121" s="1037"/>
      <c r="I121" s="921"/>
      <c r="J121" s="1037"/>
      <c r="K121" s="1037"/>
      <c r="L121" s="1037"/>
      <c r="M121" s="1037"/>
      <c r="N121" s="921"/>
      <c r="O121" s="922"/>
      <c r="P121" s="1037"/>
      <c r="Q121" s="1037"/>
      <c r="R121" s="1037"/>
      <c r="S121" s="1037"/>
      <c r="T121" s="1026"/>
    </row>
    <row r="122" spans="1:20" x14ac:dyDescent="0.25">
      <c r="A122" s="957" t="s">
        <v>229</v>
      </c>
      <c r="B122" s="1022">
        <v>179</v>
      </c>
      <c r="C122" s="1022">
        <v>54</v>
      </c>
      <c r="D122" s="1023">
        <v>2</v>
      </c>
      <c r="E122" s="1022">
        <v>174</v>
      </c>
      <c r="F122" s="1022">
        <v>14</v>
      </c>
      <c r="G122" s="1023"/>
      <c r="H122" s="1022">
        <v>56</v>
      </c>
      <c r="I122" s="914">
        <v>321</v>
      </c>
      <c r="J122" s="1022">
        <v>14</v>
      </c>
      <c r="K122" s="1022">
        <v>4</v>
      </c>
      <c r="L122" s="1022">
        <v>6</v>
      </c>
      <c r="M122" s="1022">
        <v>6</v>
      </c>
      <c r="N122" s="914">
        <v>19</v>
      </c>
      <c r="O122" s="914">
        <v>329</v>
      </c>
      <c r="P122" s="1022">
        <v>166</v>
      </c>
      <c r="Q122" s="1022">
        <v>217</v>
      </c>
      <c r="R122" s="1022">
        <v>89</v>
      </c>
      <c r="S122" s="1022">
        <v>16</v>
      </c>
      <c r="T122" s="1022">
        <v>318</v>
      </c>
    </row>
    <row r="123" spans="1:20" x14ac:dyDescent="0.25">
      <c r="A123" s="962" t="s">
        <v>941</v>
      </c>
      <c r="B123" s="1037">
        <v>71</v>
      </c>
      <c r="C123" s="1037">
        <v>34</v>
      </c>
      <c r="D123" s="1038">
        <v>2</v>
      </c>
      <c r="E123" s="1037">
        <v>74</v>
      </c>
      <c r="F123" s="1037">
        <v>8</v>
      </c>
      <c r="G123" s="1038"/>
      <c r="H123" s="1037">
        <v>12</v>
      </c>
      <c r="I123" s="921">
        <v>122</v>
      </c>
      <c r="J123" s="1037">
        <v>9</v>
      </c>
      <c r="K123" s="1037">
        <v>4</v>
      </c>
      <c r="L123" s="1037">
        <v>6</v>
      </c>
      <c r="M123" s="1037">
        <v>5</v>
      </c>
      <c r="N123" s="921">
        <v>13</v>
      </c>
      <c r="O123" s="922">
        <v>126</v>
      </c>
      <c r="P123" s="1037">
        <v>67</v>
      </c>
      <c r="Q123" s="1037">
        <v>76</v>
      </c>
      <c r="R123" s="1037">
        <v>36</v>
      </c>
      <c r="S123" s="1037">
        <v>13</v>
      </c>
      <c r="T123" s="1026">
        <v>122</v>
      </c>
    </row>
    <row r="124" spans="1:20" x14ac:dyDescent="0.25">
      <c r="A124" s="962" t="s">
        <v>942</v>
      </c>
      <c r="B124" s="1037">
        <v>33</v>
      </c>
      <c r="C124" s="1037">
        <v>5</v>
      </c>
      <c r="D124" s="1038"/>
      <c r="E124" s="1037">
        <v>26</v>
      </c>
      <c r="F124" s="1037">
        <v>1</v>
      </c>
      <c r="G124" s="1038"/>
      <c r="H124" s="1037">
        <v>12</v>
      </c>
      <c r="I124" s="921">
        <v>64</v>
      </c>
      <c r="J124" s="1037">
        <v>1</v>
      </c>
      <c r="K124" s="1037"/>
      <c r="L124" s="1037"/>
      <c r="M124" s="1037">
        <v>1</v>
      </c>
      <c r="N124" s="921">
        <v>2</v>
      </c>
      <c r="O124" s="922">
        <v>65</v>
      </c>
      <c r="P124" s="1037">
        <v>26</v>
      </c>
      <c r="Q124" s="1037">
        <v>50</v>
      </c>
      <c r="R124" s="1037">
        <v>12</v>
      </c>
      <c r="S124" s="1037"/>
      <c r="T124" s="1026">
        <v>62</v>
      </c>
    </row>
    <row r="125" spans="1:20" x14ac:dyDescent="0.25">
      <c r="A125" s="962" t="s">
        <v>943</v>
      </c>
      <c r="B125" s="1037"/>
      <c r="C125" s="1037"/>
      <c r="D125" s="1038"/>
      <c r="E125" s="1037"/>
      <c r="F125" s="1037"/>
      <c r="G125" s="1038"/>
      <c r="H125" s="1037"/>
      <c r="I125" s="921"/>
      <c r="J125" s="1037"/>
      <c r="K125" s="1037"/>
      <c r="L125" s="1037"/>
      <c r="M125" s="1037"/>
      <c r="N125" s="921"/>
      <c r="O125" s="922"/>
      <c r="P125" s="1037"/>
      <c r="Q125" s="1037"/>
      <c r="R125" s="1037"/>
      <c r="S125" s="1037"/>
      <c r="T125" s="1026"/>
    </row>
    <row r="126" spans="1:20" x14ac:dyDescent="0.25">
      <c r="A126" s="962" t="s">
        <v>944</v>
      </c>
      <c r="B126" s="1037"/>
      <c r="C126" s="1037"/>
      <c r="D126" s="1038"/>
      <c r="E126" s="1037"/>
      <c r="F126" s="1037"/>
      <c r="G126" s="1038"/>
      <c r="H126" s="1037"/>
      <c r="I126" s="921"/>
      <c r="J126" s="1037"/>
      <c r="K126" s="1037"/>
      <c r="L126" s="1037"/>
      <c r="M126" s="1037"/>
      <c r="N126" s="921"/>
      <c r="O126" s="922"/>
      <c r="P126" s="1037"/>
      <c r="Q126" s="1037"/>
      <c r="R126" s="1037"/>
      <c r="S126" s="1037"/>
      <c r="T126" s="1026"/>
    </row>
    <row r="127" spans="1:20" x14ac:dyDescent="0.25">
      <c r="A127" s="962" t="s">
        <v>945</v>
      </c>
      <c r="B127" s="1037">
        <v>41</v>
      </c>
      <c r="C127" s="1037">
        <v>10</v>
      </c>
      <c r="D127" s="1038"/>
      <c r="E127" s="1037">
        <v>44</v>
      </c>
      <c r="F127" s="1037">
        <v>4</v>
      </c>
      <c r="G127" s="1038"/>
      <c r="H127" s="1037">
        <v>21</v>
      </c>
      <c r="I127" s="921">
        <v>80</v>
      </c>
      <c r="J127" s="1037"/>
      <c r="K127" s="1037"/>
      <c r="L127" s="1037"/>
      <c r="M127" s="1037"/>
      <c r="N127" s="921"/>
      <c r="O127" s="922">
        <v>80</v>
      </c>
      <c r="P127" s="1037">
        <v>43</v>
      </c>
      <c r="Q127" s="1037">
        <v>52</v>
      </c>
      <c r="R127" s="1037">
        <v>26</v>
      </c>
      <c r="S127" s="1037">
        <v>2</v>
      </c>
      <c r="T127" s="1026">
        <v>79</v>
      </c>
    </row>
    <row r="128" spans="1:20" x14ac:dyDescent="0.25">
      <c r="A128" s="962" t="s">
        <v>946</v>
      </c>
      <c r="B128" s="1037">
        <v>7</v>
      </c>
      <c r="C128" s="1037">
        <v>1</v>
      </c>
      <c r="D128" s="1038"/>
      <c r="E128" s="1037">
        <v>4</v>
      </c>
      <c r="F128" s="1037">
        <v>1</v>
      </c>
      <c r="G128" s="1038"/>
      <c r="H128" s="1037">
        <v>4</v>
      </c>
      <c r="I128" s="921">
        <v>10</v>
      </c>
      <c r="J128" s="1037"/>
      <c r="K128" s="1037"/>
      <c r="L128" s="1037"/>
      <c r="M128" s="1037"/>
      <c r="N128" s="921"/>
      <c r="O128" s="922">
        <v>10</v>
      </c>
      <c r="P128" s="1037">
        <v>4</v>
      </c>
      <c r="Q128" s="1037">
        <v>8</v>
      </c>
      <c r="R128" s="1037">
        <v>2</v>
      </c>
      <c r="S128" s="1037"/>
      <c r="T128" s="1026">
        <v>10</v>
      </c>
    </row>
    <row r="129" spans="1:20" x14ac:dyDescent="0.25">
      <c r="A129" s="962" t="s">
        <v>947</v>
      </c>
      <c r="B129" s="1037"/>
      <c r="C129" s="1037"/>
      <c r="D129" s="1038"/>
      <c r="E129" s="1037"/>
      <c r="F129" s="1037"/>
      <c r="G129" s="1038"/>
      <c r="H129" s="1037"/>
      <c r="I129" s="921"/>
      <c r="J129" s="1037"/>
      <c r="K129" s="1037"/>
      <c r="L129" s="1037"/>
      <c r="M129" s="1037"/>
      <c r="N129" s="921"/>
      <c r="O129" s="922"/>
      <c r="P129" s="1037"/>
      <c r="Q129" s="1037"/>
      <c r="R129" s="1037"/>
      <c r="S129" s="1037"/>
      <c r="T129" s="1026"/>
    </row>
    <row r="130" spans="1:20" x14ac:dyDescent="0.25">
      <c r="A130" s="962" t="s">
        <v>948</v>
      </c>
      <c r="B130" s="1037"/>
      <c r="C130" s="1037"/>
      <c r="D130" s="1038"/>
      <c r="E130" s="1037"/>
      <c r="F130" s="1037"/>
      <c r="G130" s="1038"/>
      <c r="H130" s="1037"/>
      <c r="I130" s="921"/>
      <c r="J130" s="1037"/>
      <c r="K130" s="1037"/>
      <c r="L130" s="1037"/>
      <c r="M130" s="1037"/>
      <c r="N130" s="921"/>
      <c r="O130" s="922"/>
      <c r="P130" s="1037"/>
      <c r="Q130" s="1037"/>
      <c r="R130" s="1037"/>
      <c r="S130" s="1037"/>
      <c r="T130" s="1026"/>
    </row>
    <row r="131" spans="1:20" x14ac:dyDescent="0.25">
      <c r="A131" s="962" t="s">
        <v>949</v>
      </c>
      <c r="B131" s="1037">
        <v>3</v>
      </c>
      <c r="C131" s="1037"/>
      <c r="D131" s="1038"/>
      <c r="E131" s="1037">
        <v>1</v>
      </c>
      <c r="F131" s="1037"/>
      <c r="G131" s="1038"/>
      <c r="H131" s="1037">
        <v>1</v>
      </c>
      <c r="I131" s="921">
        <v>4</v>
      </c>
      <c r="J131" s="1037">
        <v>2</v>
      </c>
      <c r="K131" s="1037"/>
      <c r="L131" s="1037"/>
      <c r="M131" s="1037"/>
      <c r="N131" s="921">
        <v>2</v>
      </c>
      <c r="O131" s="922">
        <v>5</v>
      </c>
      <c r="P131" s="1037">
        <v>2</v>
      </c>
      <c r="Q131" s="1037">
        <v>3</v>
      </c>
      <c r="R131" s="1037">
        <v>2</v>
      </c>
      <c r="S131" s="1037"/>
      <c r="T131" s="1026">
        <v>5</v>
      </c>
    </row>
    <row r="132" spans="1:20" x14ac:dyDescent="0.25">
      <c r="A132" s="962" t="s">
        <v>950</v>
      </c>
      <c r="B132" s="1037">
        <v>8</v>
      </c>
      <c r="C132" s="1037">
        <v>1</v>
      </c>
      <c r="D132" s="1038"/>
      <c r="E132" s="1037">
        <v>7</v>
      </c>
      <c r="F132" s="1037"/>
      <c r="G132" s="1038"/>
      <c r="H132" s="1037">
        <v>2</v>
      </c>
      <c r="I132" s="921">
        <v>11</v>
      </c>
      <c r="J132" s="1037">
        <v>1</v>
      </c>
      <c r="K132" s="1037"/>
      <c r="L132" s="1037"/>
      <c r="M132" s="1037"/>
      <c r="N132" s="921">
        <v>1</v>
      </c>
      <c r="O132" s="922">
        <v>12</v>
      </c>
      <c r="P132" s="1037">
        <v>8</v>
      </c>
      <c r="Q132" s="1037">
        <v>9</v>
      </c>
      <c r="R132" s="1037">
        <v>1</v>
      </c>
      <c r="S132" s="1037"/>
      <c r="T132" s="1026">
        <v>10</v>
      </c>
    </row>
    <row r="133" spans="1:20" x14ac:dyDescent="0.25">
      <c r="A133" s="962" t="s">
        <v>951</v>
      </c>
      <c r="B133" s="1037">
        <v>16</v>
      </c>
      <c r="C133" s="1037">
        <v>3</v>
      </c>
      <c r="D133" s="1038"/>
      <c r="E133" s="1037">
        <v>18</v>
      </c>
      <c r="F133" s="1037"/>
      <c r="G133" s="1038"/>
      <c r="H133" s="1037">
        <v>4</v>
      </c>
      <c r="I133" s="921">
        <v>30</v>
      </c>
      <c r="J133" s="1037">
        <v>1</v>
      </c>
      <c r="K133" s="1037"/>
      <c r="L133" s="1037"/>
      <c r="M133" s="1037"/>
      <c r="N133" s="921">
        <v>1</v>
      </c>
      <c r="O133" s="922">
        <v>31</v>
      </c>
      <c r="P133" s="1037">
        <v>16</v>
      </c>
      <c r="Q133" s="1037">
        <v>19</v>
      </c>
      <c r="R133" s="1037">
        <v>10</v>
      </c>
      <c r="S133" s="1037">
        <v>1</v>
      </c>
      <c r="T133" s="1026">
        <v>30</v>
      </c>
    </row>
    <row r="134" spans="1:20" x14ac:dyDescent="0.25">
      <c r="A134" s="957" t="s">
        <v>115</v>
      </c>
      <c r="B134" s="1022">
        <v>430</v>
      </c>
      <c r="C134" s="1022">
        <v>137</v>
      </c>
      <c r="D134" s="1023">
        <v>7</v>
      </c>
      <c r="E134" s="1022">
        <v>454</v>
      </c>
      <c r="F134" s="1022">
        <v>21</v>
      </c>
      <c r="G134" s="1023">
        <v>1</v>
      </c>
      <c r="H134" s="1022">
        <v>117</v>
      </c>
      <c r="I134" s="914">
        <v>791</v>
      </c>
      <c r="J134" s="1022">
        <v>28</v>
      </c>
      <c r="K134" s="1022">
        <v>7</v>
      </c>
      <c r="L134" s="1022">
        <v>9</v>
      </c>
      <c r="M134" s="1022">
        <v>2</v>
      </c>
      <c r="N134" s="914">
        <v>38</v>
      </c>
      <c r="O134" s="914">
        <v>803</v>
      </c>
      <c r="P134" s="1022">
        <v>449</v>
      </c>
      <c r="Q134" s="1022">
        <v>621</v>
      </c>
      <c r="R134" s="1022">
        <v>123</v>
      </c>
      <c r="S134" s="1022">
        <v>52</v>
      </c>
      <c r="T134" s="1022">
        <v>777</v>
      </c>
    </row>
    <row r="135" spans="1:20" x14ac:dyDescent="0.25">
      <c r="A135" s="962" t="s">
        <v>952</v>
      </c>
      <c r="B135" s="1037">
        <v>61</v>
      </c>
      <c r="C135" s="1037">
        <v>25</v>
      </c>
      <c r="D135" s="1038"/>
      <c r="E135" s="1037">
        <v>53</v>
      </c>
      <c r="F135" s="1037">
        <v>10</v>
      </c>
      <c r="G135" s="1038">
        <v>1</v>
      </c>
      <c r="H135" s="1037">
        <v>20</v>
      </c>
      <c r="I135" s="921">
        <v>94</v>
      </c>
      <c r="J135" s="1037">
        <v>7</v>
      </c>
      <c r="K135" s="1037">
        <v>3</v>
      </c>
      <c r="L135" s="1037">
        <v>3</v>
      </c>
      <c r="M135" s="1037"/>
      <c r="N135" s="921">
        <v>9</v>
      </c>
      <c r="O135" s="922">
        <v>97</v>
      </c>
      <c r="P135" s="1037">
        <v>59</v>
      </c>
      <c r="Q135" s="1037">
        <v>50</v>
      </c>
      <c r="R135" s="1037">
        <v>24</v>
      </c>
      <c r="S135" s="1037">
        <v>24</v>
      </c>
      <c r="T135" s="1026">
        <v>93</v>
      </c>
    </row>
    <row r="136" spans="1:20" x14ac:dyDescent="0.25">
      <c r="A136" s="962" t="s">
        <v>953</v>
      </c>
      <c r="B136" s="1037">
        <v>194</v>
      </c>
      <c r="C136" s="1037">
        <v>66</v>
      </c>
      <c r="D136" s="1038">
        <v>7</v>
      </c>
      <c r="E136" s="1037">
        <v>170</v>
      </c>
      <c r="F136" s="1037">
        <v>6</v>
      </c>
      <c r="G136" s="1038"/>
      <c r="H136" s="1037">
        <v>36</v>
      </c>
      <c r="I136" s="921">
        <v>317</v>
      </c>
      <c r="J136" s="1037">
        <v>9</v>
      </c>
      <c r="K136" s="1037">
        <v>2</v>
      </c>
      <c r="L136" s="1037"/>
      <c r="M136" s="1037">
        <v>1</v>
      </c>
      <c r="N136" s="921">
        <v>12</v>
      </c>
      <c r="O136" s="922">
        <v>324</v>
      </c>
      <c r="P136" s="1037">
        <v>194</v>
      </c>
      <c r="Q136" s="1037">
        <v>257</v>
      </c>
      <c r="R136" s="1037">
        <v>42</v>
      </c>
      <c r="S136" s="1037">
        <v>17</v>
      </c>
      <c r="T136" s="1026">
        <v>312</v>
      </c>
    </row>
    <row r="137" spans="1:20" x14ac:dyDescent="0.25">
      <c r="A137" s="962" t="s">
        <v>954</v>
      </c>
      <c r="B137" s="1037">
        <v>30</v>
      </c>
      <c r="C137" s="1037">
        <v>6</v>
      </c>
      <c r="D137" s="1038"/>
      <c r="E137" s="1037">
        <v>26</v>
      </c>
      <c r="F137" s="1037"/>
      <c r="G137" s="1038"/>
      <c r="H137" s="1037">
        <v>5</v>
      </c>
      <c r="I137" s="921">
        <v>51</v>
      </c>
      <c r="J137" s="1037">
        <v>1</v>
      </c>
      <c r="K137" s="1037"/>
      <c r="L137" s="1037">
        <v>2</v>
      </c>
      <c r="M137" s="1037">
        <v>1</v>
      </c>
      <c r="N137" s="921">
        <v>3</v>
      </c>
      <c r="O137" s="922">
        <v>51</v>
      </c>
      <c r="P137" s="1037">
        <v>23</v>
      </c>
      <c r="Q137" s="1037">
        <v>44</v>
      </c>
      <c r="R137" s="1037">
        <v>4</v>
      </c>
      <c r="S137" s="1037">
        <v>3</v>
      </c>
      <c r="T137" s="1026">
        <v>51</v>
      </c>
    </row>
    <row r="138" spans="1:20" x14ac:dyDescent="0.25">
      <c r="A138" s="962" t="s">
        <v>955</v>
      </c>
      <c r="B138" s="1037">
        <v>27</v>
      </c>
      <c r="C138" s="1037">
        <v>6</v>
      </c>
      <c r="D138" s="1038"/>
      <c r="E138" s="1037">
        <v>18</v>
      </c>
      <c r="F138" s="1037">
        <v>2</v>
      </c>
      <c r="G138" s="1038"/>
      <c r="H138" s="1037">
        <v>4</v>
      </c>
      <c r="I138" s="921">
        <v>38</v>
      </c>
      <c r="J138" s="1037">
        <v>4</v>
      </c>
      <c r="K138" s="1037">
        <v>1</v>
      </c>
      <c r="L138" s="1037">
        <v>3</v>
      </c>
      <c r="M138" s="1037"/>
      <c r="N138" s="921">
        <v>5</v>
      </c>
      <c r="O138" s="922">
        <v>38</v>
      </c>
      <c r="P138" s="1037">
        <v>20</v>
      </c>
      <c r="Q138" s="1037">
        <v>28</v>
      </c>
      <c r="R138" s="1037">
        <v>7</v>
      </c>
      <c r="S138" s="1037">
        <v>4</v>
      </c>
      <c r="T138" s="1026">
        <v>37</v>
      </c>
    </row>
    <row r="139" spans="1:20" x14ac:dyDescent="0.25">
      <c r="A139" s="962" t="s">
        <v>956</v>
      </c>
      <c r="B139" s="1037">
        <v>11</v>
      </c>
      <c r="C139" s="1037">
        <v>3</v>
      </c>
      <c r="D139" s="1038"/>
      <c r="E139" s="1037">
        <v>11</v>
      </c>
      <c r="F139" s="1037">
        <v>1</v>
      </c>
      <c r="G139" s="1038"/>
      <c r="H139" s="1037">
        <v>5</v>
      </c>
      <c r="I139" s="921">
        <v>19</v>
      </c>
      <c r="J139" s="1037">
        <v>1</v>
      </c>
      <c r="K139" s="1037">
        <v>1</v>
      </c>
      <c r="L139" s="1037"/>
      <c r="M139" s="1037"/>
      <c r="N139" s="921">
        <v>2</v>
      </c>
      <c r="O139" s="922">
        <v>20</v>
      </c>
      <c r="P139" s="1037">
        <v>12</v>
      </c>
      <c r="Q139" s="1037">
        <v>15</v>
      </c>
      <c r="R139" s="1037">
        <v>3</v>
      </c>
      <c r="S139" s="1037">
        <v>1</v>
      </c>
      <c r="T139" s="1026">
        <v>19</v>
      </c>
    </row>
    <row r="140" spans="1:20" x14ac:dyDescent="0.25">
      <c r="A140" s="962" t="s">
        <v>957</v>
      </c>
      <c r="B140" s="1037">
        <v>32</v>
      </c>
      <c r="C140" s="1037">
        <v>9</v>
      </c>
      <c r="D140" s="1038"/>
      <c r="E140" s="1037">
        <v>57</v>
      </c>
      <c r="F140" s="1037"/>
      <c r="G140" s="1038"/>
      <c r="H140" s="1037">
        <v>10</v>
      </c>
      <c r="I140" s="921">
        <v>79</v>
      </c>
      <c r="J140" s="1037">
        <v>4</v>
      </c>
      <c r="K140" s="1037"/>
      <c r="L140" s="1037"/>
      <c r="M140" s="1037"/>
      <c r="N140" s="921">
        <v>4</v>
      </c>
      <c r="O140" s="922">
        <v>79</v>
      </c>
      <c r="P140" s="1037">
        <v>37</v>
      </c>
      <c r="Q140" s="1037">
        <v>61</v>
      </c>
      <c r="R140" s="1037">
        <v>15</v>
      </c>
      <c r="S140" s="1037">
        <v>2</v>
      </c>
      <c r="T140" s="1026">
        <v>74</v>
      </c>
    </row>
    <row r="141" spans="1:20" x14ac:dyDescent="0.25">
      <c r="A141" s="962" t="s">
        <v>958</v>
      </c>
      <c r="B141" s="1037">
        <v>30</v>
      </c>
      <c r="C141" s="1037">
        <v>11</v>
      </c>
      <c r="D141" s="1038"/>
      <c r="E141" s="1037">
        <v>58</v>
      </c>
      <c r="F141" s="1037"/>
      <c r="G141" s="1038"/>
      <c r="H141" s="1037">
        <v>19</v>
      </c>
      <c r="I141" s="921">
        <v>89</v>
      </c>
      <c r="J141" s="1037"/>
      <c r="K141" s="1037"/>
      <c r="L141" s="1037"/>
      <c r="M141" s="1037"/>
      <c r="N141" s="921"/>
      <c r="O141" s="922">
        <v>89</v>
      </c>
      <c r="P141" s="1037">
        <v>44</v>
      </c>
      <c r="Q141" s="1037">
        <v>81</v>
      </c>
      <c r="R141" s="1037">
        <v>9</v>
      </c>
      <c r="S141" s="1037"/>
      <c r="T141" s="1026">
        <v>88</v>
      </c>
    </row>
    <row r="142" spans="1:20" x14ac:dyDescent="0.25">
      <c r="A142" s="962" t="s">
        <v>959</v>
      </c>
      <c r="B142" s="1037"/>
      <c r="C142" s="1037"/>
      <c r="D142" s="1038"/>
      <c r="E142" s="1037">
        <v>2</v>
      </c>
      <c r="F142" s="1037"/>
      <c r="G142" s="1038"/>
      <c r="H142" s="1037"/>
      <c r="I142" s="921">
        <v>2</v>
      </c>
      <c r="J142" s="1037"/>
      <c r="K142" s="1037"/>
      <c r="L142" s="1037"/>
      <c r="M142" s="1037"/>
      <c r="N142" s="921"/>
      <c r="O142" s="922">
        <v>2</v>
      </c>
      <c r="P142" s="1037">
        <v>1</v>
      </c>
      <c r="Q142" s="1037">
        <v>2</v>
      </c>
      <c r="R142" s="1037"/>
      <c r="S142" s="1037"/>
      <c r="T142" s="1026">
        <v>2</v>
      </c>
    </row>
    <row r="143" spans="1:20" x14ac:dyDescent="0.25">
      <c r="A143" s="962" t="s">
        <v>960</v>
      </c>
      <c r="B143" s="1037">
        <v>45</v>
      </c>
      <c r="C143" s="1037">
        <v>11</v>
      </c>
      <c r="D143" s="1038"/>
      <c r="E143" s="1037">
        <v>59</v>
      </c>
      <c r="F143" s="1037">
        <v>2</v>
      </c>
      <c r="G143" s="1038"/>
      <c r="H143" s="1037">
        <v>18</v>
      </c>
      <c r="I143" s="921">
        <v>102</v>
      </c>
      <c r="J143" s="1037">
        <v>2</v>
      </c>
      <c r="K143" s="1037"/>
      <c r="L143" s="1037">
        <v>1</v>
      </c>
      <c r="M143" s="1037"/>
      <c r="N143" s="921">
        <v>3</v>
      </c>
      <c r="O143" s="922">
        <v>103</v>
      </c>
      <c r="P143" s="1037">
        <v>59</v>
      </c>
      <c r="Q143" s="1037">
        <v>83</v>
      </c>
      <c r="R143" s="1037">
        <v>19</v>
      </c>
      <c r="S143" s="1037">
        <v>1</v>
      </c>
      <c r="T143" s="1026">
        <v>101</v>
      </c>
    </row>
    <row r="144" spans="1:20" s="948" customFormat="1" ht="15.75" thickBot="1" x14ac:dyDescent="0.3">
      <c r="A144" s="966" t="s">
        <v>116</v>
      </c>
      <c r="B144" s="1027">
        <v>2019</v>
      </c>
      <c r="C144" s="1027">
        <v>716</v>
      </c>
      <c r="D144" s="1028">
        <v>27</v>
      </c>
      <c r="E144" s="1027">
        <v>1978</v>
      </c>
      <c r="F144" s="1027">
        <v>217</v>
      </c>
      <c r="G144" s="1028">
        <v>20</v>
      </c>
      <c r="H144" s="1027">
        <v>595</v>
      </c>
      <c r="I144" s="1027">
        <v>3345</v>
      </c>
      <c r="J144" s="1027">
        <v>209</v>
      </c>
      <c r="K144" s="1027">
        <v>57</v>
      </c>
      <c r="L144" s="1027">
        <v>73</v>
      </c>
      <c r="M144" s="1027">
        <v>36</v>
      </c>
      <c r="N144" s="1027">
        <v>288</v>
      </c>
      <c r="O144" s="1027">
        <v>3410</v>
      </c>
      <c r="P144" s="1027">
        <v>1857</v>
      </c>
      <c r="Q144" s="1027">
        <v>2213</v>
      </c>
      <c r="R144" s="1027">
        <v>903</v>
      </c>
      <c r="S144" s="1027">
        <v>271</v>
      </c>
      <c r="T144" s="1027">
        <v>3299</v>
      </c>
    </row>
    <row r="145" spans="1:20" ht="15.75" thickTop="1" x14ac:dyDescent="0.25">
      <c r="A145" s="935" t="s">
        <v>963</v>
      </c>
      <c r="B145" s="1044">
        <v>64</v>
      </c>
      <c r="C145" s="1044">
        <v>33</v>
      </c>
      <c r="D145" s="1045"/>
      <c r="E145" s="1044">
        <v>75</v>
      </c>
      <c r="F145" s="1044">
        <v>14</v>
      </c>
      <c r="G145" s="1045"/>
      <c r="H145" s="1044">
        <v>15</v>
      </c>
      <c r="I145" s="1031">
        <v>114</v>
      </c>
      <c r="J145" s="1044">
        <v>9</v>
      </c>
      <c r="K145" s="1044">
        <v>5</v>
      </c>
      <c r="L145" s="1044">
        <v>6</v>
      </c>
      <c r="M145" s="1044"/>
      <c r="N145" s="1031">
        <v>11</v>
      </c>
      <c r="O145" s="1032">
        <v>117</v>
      </c>
      <c r="P145" s="1044">
        <v>63</v>
      </c>
      <c r="Q145" s="1044">
        <v>36</v>
      </c>
      <c r="R145" s="1044">
        <v>52</v>
      </c>
      <c r="S145" s="1044">
        <v>24</v>
      </c>
      <c r="T145" s="1032">
        <v>108</v>
      </c>
    </row>
    <row r="146" spans="1:20" x14ac:dyDescent="0.25">
      <c r="A146" s="938" t="s">
        <v>964</v>
      </c>
      <c r="B146" s="1037">
        <v>28</v>
      </c>
      <c r="C146" s="1037">
        <v>20</v>
      </c>
      <c r="D146" s="1038">
        <v>1</v>
      </c>
      <c r="E146" s="1037">
        <v>34</v>
      </c>
      <c r="F146" s="1037">
        <v>2</v>
      </c>
      <c r="G146" s="1038"/>
      <c r="H146" s="1037">
        <v>6</v>
      </c>
      <c r="I146" s="936">
        <v>48</v>
      </c>
      <c r="J146" s="1037">
        <v>11</v>
      </c>
      <c r="K146" s="1037">
        <v>5</v>
      </c>
      <c r="L146" s="1037">
        <v>7</v>
      </c>
      <c r="M146" s="1037">
        <v>1</v>
      </c>
      <c r="N146" s="936">
        <v>15</v>
      </c>
      <c r="O146" s="937">
        <v>52</v>
      </c>
      <c r="P146" s="1037">
        <v>32</v>
      </c>
      <c r="Q146" s="1037">
        <v>12</v>
      </c>
      <c r="R146" s="1037">
        <v>19</v>
      </c>
      <c r="S146" s="1037">
        <v>21</v>
      </c>
      <c r="T146" s="937">
        <v>45</v>
      </c>
    </row>
    <row r="147" spans="1:20" x14ac:dyDescent="0.25">
      <c r="A147" s="938" t="s">
        <v>965</v>
      </c>
      <c r="B147" s="1037">
        <v>16</v>
      </c>
      <c r="C147" s="1037">
        <v>9</v>
      </c>
      <c r="D147" s="1038"/>
      <c r="E147" s="1037">
        <v>19</v>
      </c>
      <c r="F147" s="1037">
        <v>2</v>
      </c>
      <c r="G147" s="1038"/>
      <c r="H147" s="1037">
        <v>5</v>
      </c>
      <c r="I147" s="936">
        <v>32</v>
      </c>
      <c r="J147" s="1037">
        <v>2</v>
      </c>
      <c r="K147" s="1037">
        <v>2</v>
      </c>
      <c r="L147" s="1037">
        <v>1</v>
      </c>
      <c r="M147" s="1037"/>
      <c r="N147" s="936">
        <v>4</v>
      </c>
      <c r="O147" s="937">
        <v>33</v>
      </c>
      <c r="P147" s="1037">
        <v>19</v>
      </c>
      <c r="Q147" s="1037">
        <v>8</v>
      </c>
      <c r="R147" s="1037">
        <v>16</v>
      </c>
      <c r="S147" s="1037">
        <v>5</v>
      </c>
      <c r="T147" s="937">
        <v>29</v>
      </c>
    </row>
    <row r="148" spans="1:20" x14ac:dyDescent="0.25">
      <c r="A148" s="938" t="s">
        <v>966</v>
      </c>
      <c r="B148" s="1037">
        <v>11</v>
      </c>
      <c r="C148" s="1037">
        <v>3</v>
      </c>
      <c r="D148" s="1038"/>
      <c r="E148" s="1037">
        <v>15</v>
      </c>
      <c r="F148" s="1037"/>
      <c r="G148" s="1038"/>
      <c r="H148" s="1037">
        <v>3</v>
      </c>
      <c r="I148" s="936">
        <v>18</v>
      </c>
      <c r="J148" s="1037"/>
      <c r="K148" s="1037">
        <v>2</v>
      </c>
      <c r="L148" s="1037">
        <v>1</v>
      </c>
      <c r="M148" s="1037"/>
      <c r="N148" s="936">
        <v>3</v>
      </c>
      <c r="O148" s="937">
        <v>18</v>
      </c>
      <c r="P148" s="1037">
        <v>10</v>
      </c>
      <c r="Q148" s="1037">
        <v>9</v>
      </c>
      <c r="R148" s="1037">
        <v>8</v>
      </c>
      <c r="S148" s="1037">
        <v>2</v>
      </c>
      <c r="T148" s="937">
        <v>17</v>
      </c>
    </row>
    <row r="149" spans="1:20" x14ac:dyDescent="0.25">
      <c r="A149" s="938" t="s">
        <v>967</v>
      </c>
      <c r="B149" s="1037">
        <v>67</v>
      </c>
      <c r="C149" s="1037">
        <v>38</v>
      </c>
      <c r="D149" s="1038"/>
      <c r="E149" s="1037">
        <v>72</v>
      </c>
      <c r="F149" s="1037">
        <v>9</v>
      </c>
      <c r="G149" s="1038">
        <v>2</v>
      </c>
      <c r="H149" s="1037">
        <v>8</v>
      </c>
      <c r="I149" s="936">
        <v>116</v>
      </c>
      <c r="J149" s="1037">
        <v>16</v>
      </c>
      <c r="K149" s="1037">
        <v>14</v>
      </c>
      <c r="L149" s="1037">
        <v>19</v>
      </c>
      <c r="M149" s="1037">
        <v>1</v>
      </c>
      <c r="N149" s="936">
        <v>29</v>
      </c>
      <c r="O149" s="937">
        <v>124</v>
      </c>
      <c r="P149" s="1037">
        <v>67</v>
      </c>
      <c r="Q149" s="1037">
        <v>56</v>
      </c>
      <c r="R149" s="1037">
        <v>41</v>
      </c>
      <c r="S149" s="1037">
        <v>21</v>
      </c>
      <c r="T149" s="937">
        <v>113</v>
      </c>
    </row>
    <row r="150" spans="1:20" x14ac:dyDescent="0.25">
      <c r="A150" s="938" t="s">
        <v>968</v>
      </c>
      <c r="B150" s="1037">
        <v>8</v>
      </c>
      <c r="C150" s="1037">
        <v>6</v>
      </c>
      <c r="D150" s="1038"/>
      <c r="E150" s="1037">
        <v>13</v>
      </c>
      <c r="F150" s="1037">
        <v>2</v>
      </c>
      <c r="G150" s="1038"/>
      <c r="H150" s="1037">
        <v>2</v>
      </c>
      <c r="I150" s="936">
        <v>17</v>
      </c>
      <c r="J150" s="1037">
        <v>5</v>
      </c>
      <c r="K150" s="1037">
        <v>2</v>
      </c>
      <c r="L150" s="1037">
        <v>3</v>
      </c>
      <c r="M150" s="1037">
        <v>1</v>
      </c>
      <c r="N150" s="936">
        <v>6</v>
      </c>
      <c r="O150" s="937">
        <v>17</v>
      </c>
      <c r="P150" s="1037">
        <v>12</v>
      </c>
      <c r="Q150" s="1037">
        <v>9</v>
      </c>
      <c r="R150" s="1037">
        <v>5</v>
      </c>
      <c r="S150" s="1037">
        <v>1</v>
      </c>
      <c r="T150" s="937">
        <v>13</v>
      </c>
    </row>
    <row r="151" spans="1:20" x14ac:dyDescent="0.25">
      <c r="A151" s="938" t="s">
        <v>969</v>
      </c>
      <c r="B151" s="1037"/>
      <c r="C151" s="1037"/>
      <c r="D151" s="1038"/>
      <c r="E151" s="1037"/>
      <c r="F151" s="1037"/>
      <c r="G151" s="1038"/>
      <c r="H151" s="1037"/>
      <c r="I151" s="936"/>
      <c r="J151" s="1037"/>
      <c r="K151" s="1037"/>
      <c r="L151" s="1037"/>
      <c r="M151" s="1037"/>
      <c r="N151" s="936"/>
      <c r="O151" s="937"/>
      <c r="P151" s="1037"/>
      <c r="Q151" s="1037"/>
      <c r="R151" s="1037"/>
      <c r="S151" s="1037"/>
      <c r="T151" s="937"/>
    </row>
    <row r="152" spans="1:20" x14ac:dyDescent="0.25">
      <c r="A152" s="938" t="s">
        <v>970</v>
      </c>
      <c r="B152" s="1037">
        <v>29</v>
      </c>
      <c r="C152" s="1037">
        <v>13</v>
      </c>
      <c r="D152" s="1038"/>
      <c r="E152" s="1037">
        <v>28</v>
      </c>
      <c r="F152" s="1037">
        <v>3</v>
      </c>
      <c r="G152" s="1038"/>
      <c r="H152" s="1037">
        <v>4</v>
      </c>
      <c r="I152" s="936">
        <v>42</v>
      </c>
      <c r="J152" s="1037">
        <v>2</v>
      </c>
      <c r="K152" s="1037">
        <v>3</v>
      </c>
      <c r="L152" s="1037">
        <v>4</v>
      </c>
      <c r="M152" s="1037"/>
      <c r="N152" s="936">
        <v>6</v>
      </c>
      <c r="O152" s="937">
        <v>42</v>
      </c>
      <c r="P152" s="1037">
        <v>29</v>
      </c>
      <c r="Q152" s="1037">
        <v>13</v>
      </c>
      <c r="R152" s="1037">
        <v>10</v>
      </c>
      <c r="S152" s="1037">
        <v>13</v>
      </c>
      <c r="T152" s="937">
        <v>35</v>
      </c>
    </row>
    <row r="153" spans="1:20" x14ac:dyDescent="0.25">
      <c r="A153" s="938" t="s">
        <v>971</v>
      </c>
      <c r="B153" s="1037">
        <v>31</v>
      </c>
      <c r="C153" s="1037">
        <v>15</v>
      </c>
      <c r="D153" s="1038"/>
      <c r="E153" s="1037">
        <v>23</v>
      </c>
      <c r="F153" s="1037">
        <v>10</v>
      </c>
      <c r="G153" s="1038"/>
      <c r="H153" s="1037">
        <v>4</v>
      </c>
      <c r="I153" s="936">
        <v>42</v>
      </c>
      <c r="J153" s="1037">
        <v>6</v>
      </c>
      <c r="K153" s="1037">
        <v>3</v>
      </c>
      <c r="L153" s="1037">
        <v>6</v>
      </c>
      <c r="M153" s="1037">
        <v>1</v>
      </c>
      <c r="N153" s="936">
        <v>13</v>
      </c>
      <c r="O153" s="937">
        <v>42</v>
      </c>
      <c r="P153" s="1037">
        <v>32</v>
      </c>
      <c r="Q153" s="1037">
        <v>8</v>
      </c>
      <c r="R153" s="1037">
        <v>22</v>
      </c>
      <c r="S153" s="1037">
        <v>9</v>
      </c>
      <c r="T153" s="937">
        <v>37</v>
      </c>
    </row>
    <row r="154" spans="1:20" x14ac:dyDescent="0.25">
      <c r="A154" s="938" t="s">
        <v>972</v>
      </c>
      <c r="B154" s="1037">
        <v>191</v>
      </c>
      <c r="C154" s="1037">
        <v>82</v>
      </c>
      <c r="D154" s="1038"/>
      <c r="E154" s="1037">
        <v>177</v>
      </c>
      <c r="F154" s="1037">
        <v>5</v>
      </c>
      <c r="G154" s="1038">
        <v>1</v>
      </c>
      <c r="H154" s="1037">
        <v>36</v>
      </c>
      <c r="I154" s="936">
        <v>336</v>
      </c>
      <c r="J154" s="1037">
        <v>5</v>
      </c>
      <c r="K154" s="1037">
        <v>2</v>
      </c>
      <c r="L154" s="1037">
        <v>2</v>
      </c>
      <c r="M154" s="1037">
        <v>1</v>
      </c>
      <c r="N154" s="936">
        <v>6</v>
      </c>
      <c r="O154" s="937">
        <v>337</v>
      </c>
      <c r="P154" s="1037">
        <v>171</v>
      </c>
      <c r="Q154" s="1037">
        <v>115</v>
      </c>
      <c r="R154" s="1037">
        <v>172</v>
      </c>
      <c r="S154" s="1037">
        <v>51</v>
      </c>
      <c r="T154" s="937">
        <v>328</v>
      </c>
    </row>
    <row r="155" spans="1:20" x14ac:dyDescent="0.25">
      <c r="A155" s="938" t="s">
        <v>973</v>
      </c>
      <c r="B155" s="1037">
        <v>21</v>
      </c>
      <c r="C155" s="1037">
        <v>12</v>
      </c>
      <c r="D155" s="1038"/>
      <c r="E155" s="1037">
        <v>21</v>
      </c>
      <c r="F155" s="1037">
        <v>3</v>
      </c>
      <c r="G155" s="1038"/>
      <c r="H155" s="1037">
        <v>2</v>
      </c>
      <c r="I155" s="936">
        <v>39</v>
      </c>
      <c r="J155" s="1037">
        <v>5</v>
      </c>
      <c r="K155" s="1037">
        <v>1</v>
      </c>
      <c r="L155" s="1037">
        <v>1</v>
      </c>
      <c r="M155" s="1037">
        <v>2</v>
      </c>
      <c r="N155" s="936">
        <v>8</v>
      </c>
      <c r="O155" s="937">
        <v>40</v>
      </c>
      <c r="P155" s="1037">
        <v>22</v>
      </c>
      <c r="Q155" s="1037">
        <v>12</v>
      </c>
      <c r="R155" s="1037">
        <v>14</v>
      </c>
      <c r="S155" s="1037">
        <v>10</v>
      </c>
      <c r="T155" s="937">
        <v>36</v>
      </c>
    </row>
    <row r="156" spans="1:20" x14ac:dyDescent="0.25">
      <c r="A156" s="938" t="s">
        <v>974</v>
      </c>
      <c r="B156" s="1037">
        <v>29</v>
      </c>
      <c r="C156" s="1037">
        <v>14</v>
      </c>
      <c r="D156" s="1038"/>
      <c r="E156" s="1037">
        <v>23</v>
      </c>
      <c r="F156" s="1037"/>
      <c r="G156" s="1038"/>
      <c r="H156" s="1037">
        <v>6</v>
      </c>
      <c r="I156" s="936">
        <v>45</v>
      </c>
      <c r="J156" s="1037">
        <v>1</v>
      </c>
      <c r="K156" s="1037">
        <v>1</v>
      </c>
      <c r="L156" s="1037">
        <v>1</v>
      </c>
      <c r="M156" s="1037"/>
      <c r="N156" s="936">
        <v>3</v>
      </c>
      <c r="O156" s="937">
        <v>45</v>
      </c>
      <c r="P156" s="1037">
        <v>18</v>
      </c>
      <c r="Q156" s="1037">
        <v>16</v>
      </c>
      <c r="R156" s="1037">
        <v>23</v>
      </c>
      <c r="S156" s="1037">
        <v>6</v>
      </c>
      <c r="T156" s="937">
        <v>43</v>
      </c>
    </row>
    <row r="157" spans="1:20" x14ac:dyDescent="0.25">
      <c r="A157" s="938" t="s">
        <v>975</v>
      </c>
      <c r="B157" s="1037">
        <v>26</v>
      </c>
      <c r="C157" s="1037">
        <v>18</v>
      </c>
      <c r="D157" s="1038"/>
      <c r="E157" s="1037">
        <v>31</v>
      </c>
      <c r="F157" s="1037">
        <v>6</v>
      </c>
      <c r="G157" s="1038"/>
      <c r="H157" s="1037">
        <v>3</v>
      </c>
      <c r="I157" s="936">
        <v>48</v>
      </c>
      <c r="J157" s="1037">
        <v>3</v>
      </c>
      <c r="K157" s="1037">
        <v>3</v>
      </c>
      <c r="L157" s="1037">
        <v>4</v>
      </c>
      <c r="M157" s="1037"/>
      <c r="N157" s="936">
        <v>8</v>
      </c>
      <c r="O157" s="937">
        <v>49</v>
      </c>
      <c r="P157" s="1037">
        <v>27</v>
      </c>
      <c r="Q157" s="1037">
        <v>13</v>
      </c>
      <c r="R157" s="1037">
        <v>24</v>
      </c>
      <c r="S157" s="1037">
        <v>10</v>
      </c>
      <c r="T157" s="937">
        <v>45</v>
      </c>
    </row>
    <row r="158" spans="1:20" x14ac:dyDescent="0.25">
      <c r="A158" s="938" t="s">
        <v>976</v>
      </c>
      <c r="B158" s="1037">
        <v>7</v>
      </c>
      <c r="C158" s="1037">
        <v>1</v>
      </c>
      <c r="D158" s="1038"/>
      <c r="E158" s="1037">
        <v>15</v>
      </c>
      <c r="F158" s="1037">
        <v>2</v>
      </c>
      <c r="G158" s="1038"/>
      <c r="H158" s="1037">
        <v>1</v>
      </c>
      <c r="I158" s="936">
        <v>23</v>
      </c>
      <c r="J158" s="1037">
        <v>2</v>
      </c>
      <c r="K158" s="1037"/>
      <c r="L158" s="1037">
        <v>5</v>
      </c>
      <c r="M158" s="1037">
        <v>1</v>
      </c>
      <c r="N158" s="936">
        <v>5</v>
      </c>
      <c r="O158" s="937">
        <v>25</v>
      </c>
      <c r="P158" s="1037">
        <v>8</v>
      </c>
      <c r="Q158" s="1037">
        <v>14</v>
      </c>
      <c r="R158" s="1037">
        <v>5</v>
      </c>
      <c r="S158" s="1037">
        <v>1</v>
      </c>
      <c r="T158" s="937">
        <v>20</v>
      </c>
    </row>
    <row r="159" spans="1:20" x14ac:dyDescent="0.25">
      <c r="A159" s="938" t="s">
        <v>977</v>
      </c>
      <c r="B159" s="1037">
        <v>122</v>
      </c>
      <c r="C159" s="1037">
        <v>50</v>
      </c>
      <c r="D159" s="1038"/>
      <c r="E159" s="1037">
        <v>119</v>
      </c>
      <c r="F159" s="1037">
        <v>10</v>
      </c>
      <c r="G159" s="1038"/>
      <c r="H159" s="1037">
        <v>36</v>
      </c>
      <c r="I159" s="936">
        <v>203</v>
      </c>
      <c r="J159" s="1037">
        <v>5</v>
      </c>
      <c r="K159" s="1037">
        <v>2</v>
      </c>
      <c r="L159" s="1037">
        <v>6</v>
      </c>
      <c r="M159" s="1037">
        <v>3</v>
      </c>
      <c r="N159" s="936">
        <v>12</v>
      </c>
      <c r="O159" s="937">
        <v>206</v>
      </c>
      <c r="P159" s="1037">
        <v>124</v>
      </c>
      <c r="Q159" s="1037">
        <v>126</v>
      </c>
      <c r="R159" s="1037">
        <v>56</v>
      </c>
      <c r="S159" s="1037">
        <v>18</v>
      </c>
      <c r="T159" s="937">
        <v>197</v>
      </c>
    </row>
    <row r="160" spans="1:20" x14ac:dyDescent="0.25">
      <c r="A160" s="910" t="s">
        <v>136</v>
      </c>
      <c r="B160" s="1022">
        <v>221</v>
      </c>
      <c r="C160" s="1022">
        <v>97</v>
      </c>
      <c r="D160" s="1023"/>
      <c r="E160" s="1022">
        <v>259</v>
      </c>
      <c r="F160" s="1022">
        <v>22</v>
      </c>
      <c r="G160" s="1023"/>
      <c r="H160" s="1022">
        <v>54</v>
      </c>
      <c r="I160" s="914">
        <v>426</v>
      </c>
      <c r="J160" s="1022">
        <v>27</v>
      </c>
      <c r="K160" s="1022">
        <v>14</v>
      </c>
      <c r="L160" s="1022">
        <v>36</v>
      </c>
      <c r="M160" s="1022">
        <v>4</v>
      </c>
      <c r="N160" s="914">
        <v>55</v>
      </c>
      <c r="O160" s="914">
        <v>441</v>
      </c>
      <c r="P160" s="1022">
        <v>221</v>
      </c>
      <c r="Q160" s="1022">
        <v>234</v>
      </c>
      <c r="R160" s="1022">
        <v>137</v>
      </c>
      <c r="S160" s="1022">
        <v>53</v>
      </c>
      <c r="T160" s="914">
        <v>410</v>
      </c>
    </row>
    <row r="161" spans="1:20" x14ac:dyDescent="0.25">
      <c r="A161" s="939" t="s">
        <v>978</v>
      </c>
      <c r="B161" s="1037">
        <v>2</v>
      </c>
      <c r="C161" s="1037">
        <v>1</v>
      </c>
      <c r="D161" s="1038"/>
      <c r="E161" s="1037"/>
      <c r="F161" s="1037"/>
      <c r="G161" s="1038"/>
      <c r="H161" s="1037"/>
      <c r="I161" s="936">
        <v>2</v>
      </c>
      <c r="J161" s="1037">
        <v>1</v>
      </c>
      <c r="K161" s="1037">
        <v>1</v>
      </c>
      <c r="L161" s="1037"/>
      <c r="M161" s="1037"/>
      <c r="N161" s="936">
        <v>2</v>
      </c>
      <c r="O161" s="937">
        <v>3</v>
      </c>
      <c r="P161" s="1037">
        <v>2</v>
      </c>
      <c r="Q161" s="1037">
        <v>2</v>
      </c>
      <c r="R161" s="1037">
        <v>1</v>
      </c>
      <c r="S161" s="1037">
        <v>1</v>
      </c>
      <c r="T161" s="937">
        <v>3</v>
      </c>
    </row>
    <row r="162" spans="1:20" x14ac:dyDescent="0.25">
      <c r="A162" s="939" t="s">
        <v>979</v>
      </c>
      <c r="B162" s="1037">
        <v>1</v>
      </c>
      <c r="C162" s="1037">
        <v>1</v>
      </c>
      <c r="D162" s="1038"/>
      <c r="E162" s="1037">
        <v>4</v>
      </c>
      <c r="F162" s="1037"/>
      <c r="G162" s="1038"/>
      <c r="H162" s="1037">
        <v>1</v>
      </c>
      <c r="I162" s="936">
        <v>6</v>
      </c>
      <c r="J162" s="1037"/>
      <c r="K162" s="1037"/>
      <c r="L162" s="1037"/>
      <c r="M162" s="1037"/>
      <c r="N162" s="936"/>
      <c r="O162" s="937">
        <v>6</v>
      </c>
      <c r="P162" s="1037">
        <v>2</v>
      </c>
      <c r="Q162" s="1037">
        <v>4</v>
      </c>
      <c r="R162" s="1037">
        <v>3</v>
      </c>
      <c r="S162" s="1037"/>
      <c r="T162" s="937">
        <v>6</v>
      </c>
    </row>
    <row r="163" spans="1:20" x14ac:dyDescent="0.25">
      <c r="A163" s="939" t="s">
        <v>980</v>
      </c>
      <c r="B163" s="1037">
        <v>8</v>
      </c>
      <c r="C163" s="1037">
        <v>5</v>
      </c>
      <c r="D163" s="1038"/>
      <c r="E163" s="1037">
        <v>17</v>
      </c>
      <c r="F163" s="1037">
        <v>1</v>
      </c>
      <c r="G163" s="1038"/>
      <c r="H163" s="1037">
        <v>3</v>
      </c>
      <c r="I163" s="936">
        <v>18</v>
      </c>
      <c r="J163" s="1037"/>
      <c r="K163" s="1037"/>
      <c r="L163" s="1037"/>
      <c r="M163" s="1037"/>
      <c r="N163" s="936"/>
      <c r="O163" s="937">
        <v>18</v>
      </c>
      <c r="P163" s="1037">
        <v>9</v>
      </c>
      <c r="Q163" s="1037">
        <v>13</v>
      </c>
      <c r="R163" s="1037">
        <v>6</v>
      </c>
      <c r="S163" s="1037"/>
      <c r="T163" s="937">
        <v>18</v>
      </c>
    </row>
    <row r="164" spans="1:20" x14ac:dyDescent="0.25">
      <c r="A164" s="939" t="s">
        <v>981</v>
      </c>
      <c r="B164" s="1037">
        <v>2</v>
      </c>
      <c r="C164" s="1037"/>
      <c r="D164" s="1038"/>
      <c r="E164" s="1037"/>
      <c r="F164" s="1037">
        <v>1</v>
      </c>
      <c r="G164" s="1038"/>
      <c r="H164" s="1037"/>
      <c r="I164" s="936">
        <v>2</v>
      </c>
      <c r="J164" s="1037">
        <v>3</v>
      </c>
      <c r="K164" s="1037">
        <v>2</v>
      </c>
      <c r="L164" s="1037">
        <v>3</v>
      </c>
      <c r="M164" s="1037">
        <v>3</v>
      </c>
      <c r="N164" s="936">
        <v>4</v>
      </c>
      <c r="O164" s="937">
        <v>4</v>
      </c>
      <c r="P164" s="1037">
        <v>4</v>
      </c>
      <c r="Q164" s="1037"/>
      <c r="R164" s="1037">
        <v>1</v>
      </c>
      <c r="S164" s="1037"/>
      <c r="T164" s="937">
        <v>1</v>
      </c>
    </row>
    <row r="165" spans="1:20" x14ac:dyDescent="0.25">
      <c r="A165" s="939" t="s">
        <v>982</v>
      </c>
      <c r="B165" s="1037"/>
      <c r="C165" s="1037"/>
      <c r="D165" s="1038"/>
      <c r="E165" s="1037"/>
      <c r="F165" s="1037"/>
      <c r="G165" s="1038"/>
      <c r="H165" s="1037"/>
      <c r="I165" s="936"/>
      <c r="J165" s="1037"/>
      <c r="K165" s="1037"/>
      <c r="L165" s="1037">
        <v>1</v>
      </c>
      <c r="M165" s="1037"/>
      <c r="N165" s="936">
        <v>1</v>
      </c>
      <c r="O165" s="937">
        <v>1</v>
      </c>
      <c r="P165" s="1037">
        <v>1</v>
      </c>
      <c r="Q165" s="1037"/>
      <c r="R165" s="1037"/>
      <c r="S165" s="1037"/>
      <c r="T165" s="937"/>
    </row>
    <row r="166" spans="1:20" x14ac:dyDescent="0.25">
      <c r="A166" s="939" t="s">
        <v>983</v>
      </c>
      <c r="B166" s="1037">
        <v>36</v>
      </c>
      <c r="C166" s="1037">
        <v>18</v>
      </c>
      <c r="D166" s="1038"/>
      <c r="E166" s="1037">
        <v>47</v>
      </c>
      <c r="F166" s="1037">
        <v>3</v>
      </c>
      <c r="G166" s="1038"/>
      <c r="H166" s="1037">
        <v>11</v>
      </c>
      <c r="I166" s="936">
        <v>72</v>
      </c>
      <c r="J166" s="1037">
        <v>6</v>
      </c>
      <c r="K166" s="1037">
        <v>3</v>
      </c>
      <c r="L166" s="1037">
        <v>10</v>
      </c>
      <c r="M166" s="1037"/>
      <c r="N166" s="936">
        <v>13</v>
      </c>
      <c r="O166" s="937">
        <v>75</v>
      </c>
      <c r="P166" s="1037">
        <v>31</v>
      </c>
      <c r="Q166" s="1037">
        <v>35</v>
      </c>
      <c r="R166" s="1037">
        <v>29</v>
      </c>
      <c r="S166" s="1037">
        <v>16</v>
      </c>
      <c r="T166" s="937">
        <v>74</v>
      </c>
    </row>
    <row r="167" spans="1:20" x14ac:dyDescent="0.25">
      <c r="A167" s="939" t="s">
        <v>984</v>
      </c>
      <c r="B167" s="1037">
        <v>9</v>
      </c>
      <c r="C167" s="1037">
        <v>4</v>
      </c>
      <c r="D167" s="1038"/>
      <c r="E167" s="1037">
        <v>13</v>
      </c>
      <c r="F167" s="1037"/>
      <c r="G167" s="1038"/>
      <c r="H167" s="1037">
        <v>1</v>
      </c>
      <c r="I167" s="936">
        <v>17</v>
      </c>
      <c r="J167" s="1037">
        <v>2</v>
      </c>
      <c r="K167" s="1037"/>
      <c r="L167" s="1037"/>
      <c r="M167" s="1037"/>
      <c r="N167" s="936">
        <v>2</v>
      </c>
      <c r="O167" s="937">
        <v>17</v>
      </c>
      <c r="P167" s="1037">
        <v>9</v>
      </c>
      <c r="Q167" s="1037">
        <v>7</v>
      </c>
      <c r="R167" s="1037">
        <v>7</v>
      </c>
      <c r="S167" s="1037">
        <v>2</v>
      </c>
      <c r="T167" s="937">
        <v>16</v>
      </c>
    </row>
    <row r="168" spans="1:20" x14ac:dyDescent="0.25">
      <c r="A168" s="939" t="s">
        <v>985</v>
      </c>
      <c r="B168" s="1037">
        <v>11</v>
      </c>
      <c r="C168" s="1037">
        <v>6</v>
      </c>
      <c r="D168" s="1038"/>
      <c r="E168" s="1037">
        <v>15</v>
      </c>
      <c r="F168" s="1037">
        <v>1</v>
      </c>
      <c r="G168" s="1038"/>
      <c r="H168" s="1037"/>
      <c r="I168" s="936">
        <v>23</v>
      </c>
      <c r="J168" s="1037"/>
      <c r="K168" s="1037">
        <v>2</v>
      </c>
      <c r="L168" s="1037">
        <v>3</v>
      </c>
      <c r="M168" s="1037"/>
      <c r="N168" s="936">
        <v>3</v>
      </c>
      <c r="O168" s="937">
        <v>23</v>
      </c>
      <c r="P168" s="1037">
        <v>10</v>
      </c>
      <c r="Q168" s="1037">
        <v>14</v>
      </c>
      <c r="R168" s="1037">
        <v>7</v>
      </c>
      <c r="S168" s="1037">
        <v>2</v>
      </c>
      <c r="T168" s="937">
        <v>21</v>
      </c>
    </row>
    <row r="169" spans="1:20" x14ac:dyDescent="0.25">
      <c r="A169" s="939" t="s">
        <v>986</v>
      </c>
      <c r="B169" s="1037">
        <v>9</v>
      </c>
      <c r="C169" s="1037">
        <v>4</v>
      </c>
      <c r="D169" s="1038"/>
      <c r="E169" s="1037">
        <v>9</v>
      </c>
      <c r="F169" s="1037">
        <v>1</v>
      </c>
      <c r="G169" s="1038"/>
      <c r="H169" s="1037"/>
      <c r="I169" s="936">
        <v>14</v>
      </c>
      <c r="J169" s="1037">
        <v>2</v>
      </c>
      <c r="K169" s="1037"/>
      <c r="L169" s="1037">
        <v>1</v>
      </c>
      <c r="M169" s="1037"/>
      <c r="N169" s="936">
        <v>3</v>
      </c>
      <c r="O169" s="937">
        <v>15</v>
      </c>
      <c r="P169" s="1037">
        <v>6</v>
      </c>
      <c r="Q169" s="1037">
        <v>5</v>
      </c>
      <c r="R169" s="1037">
        <v>3</v>
      </c>
      <c r="S169" s="1037">
        <v>4</v>
      </c>
      <c r="T169" s="937">
        <v>12</v>
      </c>
    </row>
    <row r="170" spans="1:20" x14ac:dyDescent="0.25">
      <c r="A170" s="939" t="s">
        <v>987</v>
      </c>
      <c r="B170" s="1037">
        <v>1</v>
      </c>
      <c r="C170" s="1037">
        <v>2</v>
      </c>
      <c r="D170" s="1038"/>
      <c r="E170" s="1037">
        <v>5</v>
      </c>
      <c r="F170" s="1037"/>
      <c r="G170" s="1038"/>
      <c r="H170" s="1037"/>
      <c r="I170" s="936">
        <v>5</v>
      </c>
      <c r="J170" s="1037">
        <v>1</v>
      </c>
      <c r="K170" s="1037">
        <v>1</v>
      </c>
      <c r="L170" s="1037"/>
      <c r="M170" s="1037"/>
      <c r="N170" s="936">
        <v>1</v>
      </c>
      <c r="O170" s="937">
        <v>6</v>
      </c>
      <c r="P170" s="1037">
        <v>2</v>
      </c>
      <c r="Q170" s="1037">
        <v>3</v>
      </c>
      <c r="R170" s="1037">
        <v>2</v>
      </c>
      <c r="S170" s="1037">
        <v>1</v>
      </c>
      <c r="T170" s="937">
        <v>6</v>
      </c>
    </row>
    <row r="171" spans="1:20" x14ac:dyDescent="0.25">
      <c r="A171" s="939" t="s">
        <v>988</v>
      </c>
      <c r="B171" s="1037">
        <v>44</v>
      </c>
      <c r="C171" s="1037">
        <v>15</v>
      </c>
      <c r="D171" s="1038"/>
      <c r="E171" s="1037">
        <v>48</v>
      </c>
      <c r="F171" s="1037">
        <v>6</v>
      </c>
      <c r="G171" s="1038"/>
      <c r="H171" s="1037">
        <v>14</v>
      </c>
      <c r="I171" s="936">
        <v>85</v>
      </c>
      <c r="J171" s="1037">
        <v>8</v>
      </c>
      <c r="K171" s="1037">
        <v>3</v>
      </c>
      <c r="L171" s="1037">
        <v>9</v>
      </c>
      <c r="M171" s="1037"/>
      <c r="N171" s="936">
        <v>14</v>
      </c>
      <c r="O171" s="937">
        <v>89</v>
      </c>
      <c r="P171" s="1037">
        <v>51</v>
      </c>
      <c r="Q171" s="1037">
        <v>39</v>
      </c>
      <c r="R171" s="1037">
        <v>31</v>
      </c>
      <c r="S171" s="1037">
        <v>13</v>
      </c>
      <c r="T171" s="937">
        <v>83</v>
      </c>
    </row>
    <row r="172" spans="1:20" x14ac:dyDescent="0.25">
      <c r="A172" s="939" t="s">
        <v>989</v>
      </c>
      <c r="B172" s="1037">
        <v>37</v>
      </c>
      <c r="C172" s="1037">
        <v>16</v>
      </c>
      <c r="D172" s="1038"/>
      <c r="E172" s="1037">
        <v>38</v>
      </c>
      <c r="F172" s="1037">
        <v>1</v>
      </c>
      <c r="G172" s="1038"/>
      <c r="H172" s="1037">
        <v>5</v>
      </c>
      <c r="I172" s="936">
        <v>65</v>
      </c>
      <c r="J172" s="1037">
        <v>2</v>
      </c>
      <c r="K172" s="1037"/>
      <c r="L172" s="1037">
        <v>1</v>
      </c>
      <c r="M172" s="1037"/>
      <c r="N172" s="936">
        <v>2</v>
      </c>
      <c r="O172" s="937">
        <v>66</v>
      </c>
      <c r="P172" s="1037">
        <v>36</v>
      </c>
      <c r="Q172" s="1037">
        <v>48</v>
      </c>
      <c r="R172" s="1037">
        <v>10</v>
      </c>
      <c r="S172" s="1037">
        <v>4</v>
      </c>
      <c r="T172" s="937">
        <v>62</v>
      </c>
    </row>
    <row r="173" spans="1:20" x14ac:dyDescent="0.25">
      <c r="A173" s="939" t="s">
        <v>990</v>
      </c>
      <c r="B173" s="1037">
        <v>5</v>
      </c>
      <c r="C173" s="1037">
        <v>3</v>
      </c>
      <c r="D173" s="1038"/>
      <c r="E173" s="1037">
        <v>5</v>
      </c>
      <c r="F173" s="1037"/>
      <c r="G173" s="1038"/>
      <c r="H173" s="1037">
        <v>1</v>
      </c>
      <c r="I173" s="936">
        <v>7</v>
      </c>
      <c r="J173" s="1037"/>
      <c r="K173" s="1037"/>
      <c r="L173" s="1037">
        <v>2</v>
      </c>
      <c r="M173" s="1037"/>
      <c r="N173" s="936">
        <v>2</v>
      </c>
      <c r="O173" s="937">
        <v>7</v>
      </c>
      <c r="P173" s="1037">
        <v>4</v>
      </c>
      <c r="Q173" s="1037">
        <v>4</v>
      </c>
      <c r="R173" s="1037">
        <v>3</v>
      </c>
      <c r="S173" s="1037"/>
      <c r="T173" s="937">
        <v>7</v>
      </c>
    </row>
    <row r="174" spans="1:20" x14ac:dyDescent="0.25">
      <c r="A174" s="939" t="s">
        <v>991</v>
      </c>
      <c r="B174" s="1037"/>
      <c r="C174" s="1037"/>
      <c r="D174" s="1038"/>
      <c r="E174" s="1037">
        <v>1</v>
      </c>
      <c r="F174" s="1037"/>
      <c r="G174" s="1038"/>
      <c r="H174" s="1037"/>
      <c r="I174" s="936">
        <v>1</v>
      </c>
      <c r="J174" s="1037"/>
      <c r="K174" s="1037"/>
      <c r="L174" s="1037"/>
      <c r="M174" s="1037"/>
      <c r="N174" s="936"/>
      <c r="O174" s="937">
        <v>1</v>
      </c>
      <c r="P174" s="1037">
        <v>1</v>
      </c>
      <c r="Q174" s="1037">
        <v>1</v>
      </c>
      <c r="R174" s="1037"/>
      <c r="S174" s="1037"/>
      <c r="T174" s="937">
        <v>1</v>
      </c>
    </row>
    <row r="175" spans="1:20" x14ac:dyDescent="0.25">
      <c r="A175" s="939" t="s">
        <v>992</v>
      </c>
      <c r="B175" s="1037">
        <v>19</v>
      </c>
      <c r="C175" s="1037">
        <v>5</v>
      </c>
      <c r="D175" s="1038"/>
      <c r="E175" s="1037">
        <v>16</v>
      </c>
      <c r="F175" s="1037">
        <v>1</v>
      </c>
      <c r="G175" s="1038"/>
      <c r="H175" s="1037">
        <v>6</v>
      </c>
      <c r="I175" s="936">
        <v>31</v>
      </c>
      <c r="J175" s="1037"/>
      <c r="K175" s="1037"/>
      <c r="L175" s="1037">
        <v>2</v>
      </c>
      <c r="M175" s="1037"/>
      <c r="N175" s="936">
        <v>2</v>
      </c>
      <c r="O175" s="937">
        <v>31</v>
      </c>
      <c r="P175" s="1037">
        <v>18</v>
      </c>
      <c r="Q175" s="1037">
        <v>16</v>
      </c>
      <c r="R175" s="1037">
        <v>11</v>
      </c>
      <c r="S175" s="1037">
        <v>2</v>
      </c>
      <c r="T175" s="937">
        <v>29</v>
      </c>
    </row>
    <row r="176" spans="1:20" x14ac:dyDescent="0.25">
      <c r="A176" s="939" t="s">
        <v>993</v>
      </c>
      <c r="B176" s="1037"/>
      <c r="C176" s="1037"/>
      <c r="D176" s="1038"/>
      <c r="E176" s="1037"/>
      <c r="F176" s="1037"/>
      <c r="G176" s="1038"/>
      <c r="H176" s="1037"/>
      <c r="I176" s="936"/>
      <c r="J176" s="1037"/>
      <c r="K176" s="1037"/>
      <c r="L176" s="1037">
        <v>1</v>
      </c>
      <c r="M176" s="1037"/>
      <c r="N176" s="936">
        <v>1</v>
      </c>
      <c r="O176" s="937">
        <v>1</v>
      </c>
      <c r="P176" s="1037">
        <v>1</v>
      </c>
      <c r="Q176" s="1037"/>
      <c r="R176" s="1037"/>
      <c r="S176" s="1037">
        <v>1</v>
      </c>
      <c r="T176" s="937">
        <v>1</v>
      </c>
    </row>
    <row r="177" spans="1:20" x14ac:dyDescent="0.25">
      <c r="A177" s="939" t="s">
        <v>994</v>
      </c>
      <c r="B177" s="1037">
        <v>36</v>
      </c>
      <c r="C177" s="1037">
        <v>17</v>
      </c>
      <c r="D177" s="1038"/>
      <c r="E177" s="1037">
        <v>39</v>
      </c>
      <c r="F177" s="1037">
        <v>7</v>
      </c>
      <c r="G177" s="1038"/>
      <c r="H177" s="1037">
        <v>12</v>
      </c>
      <c r="I177" s="936">
        <v>75</v>
      </c>
      <c r="J177" s="1037">
        <v>2</v>
      </c>
      <c r="K177" s="1037">
        <v>1</v>
      </c>
      <c r="L177" s="1037">
        <v>3</v>
      </c>
      <c r="M177" s="1037">
        <v>1</v>
      </c>
      <c r="N177" s="936">
        <v>4</v>
      </c>
      <c r="O177" s="937">
        <v>75</v>
      </c>
      <c r="P177" s="1037">
        <v>31</v>
      </c>
      <c r="Q177" s="1037">
        <v>43</v>
      </c>
      <c r="R177" s="1037">
        <v>23</v>
      </c>
      <c r="S177" s="1037">
        <v>7</v>
      </c>
      <c r="T177" s="937">
        <v>70</v>
      </c>
    </row>
    <row r="178" spans="1:20" x14ac:dyDescent="0.25">
      <c r="A178" s="939" t="s">
        <v>995</v>
      </c>
      <c r="B178" s="1037">
        <v>1</v>
      </c>
      <c r="C178" s="1037"/>
      <c r="D178" s="1038"/>
      <c r="E178" s="1037">
        <v>2</v>
      </c>
      <c r="F178" s="1037"/>
      <c r="G178" s="1038"/>
      <c r="H178" s="1037"/>
      <c r="I178" s="936">
        <v>3</v>
      </c>
      <c r="J178" s="1037"/>
      <c r="K178" s="1037">
        <v>1</v>
      </c>
      <c r="L178" s="1037"/>
      <c r="M178" s="1037"/>
      <c r="N178" s="936">
        <v>1</v>
      </c>
      <c r="O178" s="937">
        <v>3</v>
      </c>
      <c r="P178" s="1037">
        <v>3</v>
      </c>
      <c r="Q178" s="1037"/>
      <c r="R178" s="1037"/>
      <c r="S178" s="1037"/>
      <c r="T178" s="937"/>
    </row>
    <row r="179" spans="1:20" s="948" customFormat="1" x14ac:dyDescent="0.25">
      <c r="A179" s="910" t="s">
        <v>137</v>
      </c>
      <c r="B179" s="914">
        <v>871</v>
      </c>
      <c r="C179" s="914">
        <v>411</v>
      </c>
      <c r="D179" s="1035">
        <v>1</v>
      </c>
      <c r="E179" s="914">
        <v>924</v>
      </c>
      <c r="F179" s="914">
        <v>90</v>
      </c>
      <c r="G179" s="1035">
        <v>3</v>
      </c>
      <c r="H179" s="914">
        <v>185</v>
      </c>
      <c r="I179" s="914">
        <v>1549</v>
      </c>
      <c r="J179" s="914">
        <v>99</v>
      </c>
      <c r="K179" s="914">
        <v>59</v>
      </c>
      <c r="L179" s="914">
        <v>102</v>
      </c>
      <c r="M179" s="914">
        <v>15</v>
      </c>
      <c r="N179" s="914">
        <v>184</v>
      </c>
      <c r="O179" s="914">
        <v>1588</v>
      </c>
      <c r="P179" s="914">
        <v>855</v>
      </c>
      <c r="Q179" s="914">
        <v>681</v>
      </c>
      <c r="R179" s="914">
        <v>604</v>
      </c>
      <c r="S179" s="914">
        <v>245</v>
      </c>
      <c r="T179" s="914">
        <v>1476</v>
      </c>
    </row>
    <row r="180" spans="1:20" s="948" customFormat="1" x14ac:dyDescent="0.25">
      <c r="A180" s="960" t="s">
        <v>996</v>
      </c>
      <c r="B180" s="932">
        <v>2890</v>
      </c>
      <c r="C180" s="932">
        <v>1127</v>
      </c>
      <c r="D180" s="1036">
        <v>28</v>
      </c>
      <c r="E180" s="932">
        <v>2902</v>
      </c>
      <c r="F180" s="932">
        <v>307</v>
      </c>
      <c r="G180" s="1036">
        <v>23</v>
      </c>
      <c r="H180" s="932">
        <v>780</v>
      </c>
      <c r="I180" s="932">
        <v>4894</v>
      </c>
      <c r="J180" s="932">
        <v>308</v>
      </c>
      <c r="K180" s="932">
        <v>116</v>
      </c>
      <c r="L180" s="932">
        <v>175</v>
      </c>
      <c r="M180" s="932">
        <v>51</v>
      </c>
      <c r="N180" s="932">
        <v>472</v>
      </c>
      <c r="O180" s="932">
        <v>4998</v>
      </c>
      <c r="P180" s="932">
        <v>2712</v>
      </c>
      <c r="Q180" s="932">
        <v>2894</v>
      </c>
      <c r="R180" s="932">
        <v>1507</v>
      </c>
      <c r="S180" s="932">
        <v>516</v>
      </c>
      <c r="T180" s="932">
        <v>4775</v>
      </c>
    </row>
    <row r="183" spans="1:20" ht="18.75" x14ac:dyDescent="0.25">
      <c r="A183" s="1056" t="s">
        <v>1002</v>
      </c>
      <c r="B183" s="1057"/>
      <c r="C183" s="1057"/>
      <c r="D183" s="1057"/>
      <c r="E183" s="1057"/>
      <c r="F183" s="1057"/>
      <c r="G183" s="1057"/>
      <c r="H183" s="1057"/>
      <c r="I183" s="1057"/>
      <c r="J183" s="1057"/>
      <c r="K183" s="1057"/>
      <c r="L183" s="1057"/>
      <c r="M183" s="1057"/>
      <c r="N183" s="1057"/>
      <c r="O183" s="1057"/>
      <c r="P183" s="1057"/>
      <c r="Q183" s="1057"/>
      <c r="R183" s="1057"/>
      <c r="S183" s="1057"/>
      <c r="T183" s="1058"/>
    </row>
    <row r="184" spans="1:20" s="909" customFormat="1" x14ac:dyDescent="0.25">
      <c r="A184" s="1059" t="s">
        <v>493</v>
      </c>
      <c r="B184" s="1061" t="s">
        <v>1051</v>
      </c>
      <c r="C184" s="1062"/>
      <c r="D184" s="1062"/>
      <c r="E184" s="1062"/>
      <c r="F184" s="1062"/>
      <c r="G184" s="1062"/>
      <c r="H184" s="1062"/>
      <c r="I184" s="1063"/>
      <c r="J184" s="1064" t="s">
        <v>1052</v>
      </c>
      <c r="K184" s="1065"/>
      <c r="L184" s="1065"/>
      <c r="M184" s="1065"/>
      <c r="N184" s="1066"/>
      <c r="O184" s="1067" t="s">
        <v>1053</v>
      </c>
      <c r="P184" s="1068"/>
      <c r="Q184" s="1068"/>
      <c r="R184" s="1068"/>
      <c r="S184" s="1068"/>
      <c r="T184" s="1069"/>
    </row>
    <row r="185" spans="1:20" ht="60" x14ac:dyDescent="0.25">
      <c r="A185" s="1060"/>
      <c r="B185" s="951" t="s">
        <v>909</v>
      </c>
      <c r="C185" s="951" t="s">
        <v>882</v>
      </c>
      <c r="D185" s="951" t="s">
        <v>910</v>
      </c>
      <c r="E185" s="951" t="s">
        <v>883</v>
      </c>
      <c r="F185" s="951" t="s">
        <v>911</v>
      </c>
      <c r="G185" s="951" t="s">
        <v>912</v>
      </c>
      <c r="H185" s="951" t="s">
        <v>913</v>
      </c>
      <c r="I185" s="951" t="s">
        <v>914</v>
      </c>
      <c r="J185" s="952" t="s">
        <v>640</v>
      </c>
      <c r="K185" s="952" t="s">
        <v>882</v>
      </c>
      <c r="L185" s="952" t="s">
        <v>885</v>
      </c>
      <c r="M185" s="952" t="s">
        <v>913</v>
      </c>
      <c r="N185" s="952" t="s">
        <v>915</v>
      </c>
      <c r="O185" s="953" t="s">
        <v>139</v>
      </c>
      <c r="P185" s="953" t="s">
        <v>916</v>
      </c>
      <c r="Q185" s="953" t="s">
        <v>917</v>
      </c>
      <c r="R185" s="953" t="s">
        <v>918</v>
      </c>
      <c r="S185" s="953" t="s">
        <v>919</v>
      </c>
      <c r="T185" s="953" t="s">
        <v>920</v>
      </c>
    </row>
    <row r="186" spans="1:20" x14ac:dyDescent="0.25">
      <c r="A186" s="954" t="s">
        <v>1003</v>
      </c>
      <c r="B186" s="1037">
        <v>1661</v>
      </c>
      <c r="C186" s="1037">
        <v>564</v>
      </c>
      <c r="D186" s="1037">
        <v>19</v>
      </c>
      <c r="E186" s="1037">
        <v>1638</v>
      </c>
      <c r="F186" s="1037">
        <v>166</v>
      </c>
      <c r="G186" s="1037">
        <v>14</v>
      </c>
      <c r="H186" s="1037">
        <v>486</v>
      </c>
      <c r="I186" s="1039">
        <v>2749</v>
      </c>
      <c r="J186" s="1037">
        <v>161</v>
      </c>
      <c r="K186" s="1037">
        <v>47</v>
      </c>
      <c r="L186" s="1037">
        <v>61</v>
      </c>
      <c r="M186" s="1037">
        <v>28</v>
      </c>
      <c r="N186" s="1039">
        <v>225</v>
      </c>
      <c r="O186" s="1039">
        <v>2809</v>
      </c>
      <c r="P186" s="1037">
        <v>1519</v>
      </c>
      <c r="Q186" s="1037">
        <v>1908</v>
      </c>
      <c r="R186" s="1037">
        <v>721</v>
      </c>
      <c r="S186" s="1037">
        <v>175</v>
      </c>
      <c r="T186" s="1039">
        <v>2730</v>
      </c>
    </row>
    <row r="187" spans="1:20" x14ac:dyDescent="0.25">
      <c r="A187" s="954" t="s">
        <v>1004</v>
      </c>
      <c r="B187" s="1037">
        <v>2</v>
      </c>
      <c r="C187" s="1037"/>
      <c r="D187" s="1037"/>
      <c r="E187" s="1037">
        <v>2</v>
      </c>
      <c r="F187" s="1037"/>
      <c r="G187" s="1037"/>
      <c r="H187" s="1037"/>
      <c r="I187" s="1039">
        <v>4</v>
      </c>
      <c r="J187" s="1037"/>
      <c r="K187" s="1037"/>
      <c r="L187" s="1037"/>
      <c r="M187" s="1037"/>
      <c r="N187" s="1039"/>
      <c r="O187" s="1039">
        <v>4</v>
      </c>
      <c r="P187" s="1037">
        <v>1</v>
      </c>
      <c r="Q187" s="1037">
        <v>3</v>
      </c>
      <c r="R187" s="1037"/>
      <c r="S187" s="1037"/>
      <c r="T187" s="1039">
        <v>3</v>
      </c>
    </row>
    <row r="188" spans="1:20" x14ac:dyDescent="0.25">
      <c r="A188" s="954" t="s">
        <v>1005</v>
      </c>
      <c r="B188" s="1037">
        <v>164</v>
      </c>
      <c r="C188" s="1037">
        <v>104</v>
      </c>
      <c r="D188" s="1037">
        <v>5</v>
      </c>
      <c r="E188" s="1037">
        <v>121</v>
      </c>
      <c r="F188" s="1037">
        <v>40</v>
      </c>
      <c r="G188" s="1037">
        <v>6</v>
      </c>
      <c r="H188" s="1037">
        <v>51</v>
      </c>
      <c r="I188" s="1039">
        <v>227</v>
      </c>
      <c r="J188" s="1037">
        <v>42</v>
      </c>
      <c r="K188" s="1037">
        <v>8</v>
      </c>
      <c r="L188" s="1037">
        <v>7</v>
      </c>
      <c r="M188" s="1037">
        <v>8</v>
      </c>
      <c r="N188" s="1039">
        <v>52</v>
      </c>
      <c r="O188" s="1039">
        <v>230</v>
      </c>
      <c r="P188" s="1037">
        <v>161</v>
      </c>
      <c r="Q188" s="1037">
        <v>24</v>
      </c>
      <c r="R188" s="1037">
        <v>106</v>
      </c>
      <c r="S188" s="1037">
        <v>83</v>
      </c>
      <c r="T188" s="1039">
        <v>205</v>
      </c>
    </row>
    <row r="189" spans="1:20" x14ac:dyDescent="0.25">
      <c r="A189" s="975" t="s">
        <v>1006</v>
      </c>
      <c r="B189" s="1037">
        <v>124</v>
      </c>
      <c r="C189" s="1037">
        <v>24</v>
      </c>
      <c r="D189" s="1037"/>
      <c r="E189" s="1037">
        <v>150</v>
      </c>
      <c r="F189" s="1037">
        <v>5</v>
      </c>
      <c r="G189" s="1037"/>
      <c r="H189" s="1037">
        <v>42</v>
      </c>
      <c r="I189" s="1039">
        <v>246</v>
      </c>
      <c r="J189" s="1037">
        <v>2</v>
      </c>
      <c r="K189" s="1037"/>
      <c r="L189" s="1037">
        <v>2</v>
      </c>
      <c r="M189" s="1037"/>
      <c r="N189" s="1039">
        <v>4</v>
      </c>
      <c r="O189" s="1039">
        <v>247</v>
      </c>
      <c r="P189" s="1037">
        <v>121</v>
      </c>
      <c r="Q189" s="1037">
        <v>222</v>
      </c>
      <c r="R189" s="1037">
        <v>23</v>
      </c>
      <c r="S189" s="1037">
        <v>3</v>
      </c>
      <c r="T189" s="1039">
        <v>244</v>
      </c>
    </row>
    <row r="190" spans="1:20" x14ac:dyDescent="0.25">
      <c r="A190" s="975" t="s">
        <v>1007</v>
      </c>
      <c r="B190" s="1037">
        <v>61</v>
      </c>
      <c r="C190" s="1037">
        <v>24</v>
      </c>
      <c r="D190" s="1037">
        <v>3</v>
      </c>
      <c r="E190" s="1037">
        <v>62</v>
      </c>
      <c r="F190" s="1037">
        <v>6</v>
      </c>
      <c r="G190" s="1037"/>
      <c r="H190" s="1037">
        <v>15</v>
      </c>
      <c r="I190" s="1039">
        <v>107</v>
      </c>
      <c r="J190" s="1037">
        <v>4</v>
      </c>
      <c r="K190" s="1037">
        <v>2</v>
      </c>
      <c r="L190" s="1037">
        <v>3</v>
      </c>
      <c r="M190" s="1037"/>
      <c r="N190" s="1039">
        <v>7</v>
      </c>
      <c r="O190" s="1039">
        <v>108</v>
      </c>
      <c r="P190" s="1037">
        <v>51</v>
      </c>
      <c r="Q190" s="1037">
        <v>47</v>
      </c>
      <c r="R190" s="1037">
        <v>53</v>
      </c>
      <c r="S190" s="1037">
        <v>10</v>
      </c>
      <c r="T190" s="1039">
        <v>108</v>
      </c>
    </row>
    <row r="191" spans="1:20" x14ac:dyDescent="0.25">
      <c r="A191" s="954" t="s">
        <v>1000</v>
      </c>
      <c r="B191" s="1037">
        <v>7</v>
      </c>
      <c r="C191" s="1037"/>
      <c r="D191" s="1037"/>
      <c r="E191" s="1037">
        <v>5</v>
      </c>
      <c r="F191" s="1037"/>
      <c r="G191" s="1037"/>
      <c r="H191" s="1037">
        <v>1</v>
      </c>
      <c r="I191" s="1039">
        <v>12</v>
      </c>
      <c r="J191" s="1037"/>
      <c r="K191" s="1037"/>
      <c r="L191" s="1037"/>
      <c r="M191" s="1037"/>
      <c r="N191" s="1039"/>
      <c r="O191" s="1039">
        <v>12</v>
      </c>
      <c r="P191" s="1037">
        <v>4</v>
      </c>
      <c r="Q191" s="1037">
        <v>9</v>
      </c>
      <c r="R191" s="1037"/>
      <c r="S191" s="1037"/>
      <c r="T191" s="1039">
        <v>9</v>
      </c>
    </row>
    <row r="192" spans="1:20" s="948" customFormat="1" x14ac:dyDescent="0.25">
      <c r="A192" s="957" t="s">
        <v>116</v>
      </c>
      <c r="B192" s="914">
        <v>2019</v>
      </c>
      <c r="C192" s="914">
        <v>716</v>
      </c>
      <c r="D192" s="914">
        <v>27</v>
      </c>
      <c r="E192" s="914">
        <v>1978</v>
      </c>
      <c r="F192" s="914">
        <v>217</v>
      </c>
      <c r="G192" s="914">
        <v>20</v>
      </c>
      <c r="H192" s="914">
        <v>595</v>
      </c>
      <c r="I192" s="1041">
        <v>3345</v>
      </c>
      <c r="J192" s="914">
        <v>209</v>
      </c>
      <c r="K192" s="914">
        <v>57</v>
      </c>
      <c r="L192" s="914">
        <v>73</v>
      </c>
      <c r="M192" s="914">
        <v>36</v>
      </c>
      <c r="N192" s="1041">
        <v>288</v>
      </c>
      <c r="O192" s="1041">
        <v>3410</v>
      </c>
      <c r="P192" s="914">
        <v>1857</v>
      </c>
      <c r="Q192" s="914">
        <v>2213</v>
      </c>
      <c r="R192" s="914">
        <v>903</v>
      </c>
      <c r="S192" s="914">
        <v>271</v>
      </c>
      <c r="T192" s="1041">
        <v>3299</v>
      </c>
    </row>
    <row r="193" spans="1:20" x14ac:dyDescent="0.25">
      <c r="A193" s="954" t="s">
        <v>1008</v>
      </c>
      <c r="B193" s="1037">
        <v>766</v>
      </c>
      <c r="C193" s="1037">
        <v>358</v>
      </c>
      <c r="D193" s="1037">
        <v>1</v>
      </c>
      <c r="E193" s="1037">
        <v>816</v>
      </c>
      <c r="F193" s="1037">
        <v>78</v>
      </c>
      <c r="G193" s="1037">
        <v>2</v>
      </c>
      <c r="H193" s="1037">
        <v>163</v>
      </c>
      <c r="I193" s="1039">
        <v>1364</v>
      </c>
      <c r="J193" s="1037">
        <v>83</v>
      </c>
      <c r="K193" s="1037">
        <v>40</v>
      </c>
      <c r="L193" s="1037">
        <v>78</v>
      </c>
      <c r="M193" s="1037">
        <v>14</v>
      </c>
      <c r="N193" s="1039">
        <v>146</v>
      </c>
      <c r="O193" s="1039">
        <v>1401</v>
      </c>
      <c r="P193" s="1037">
        <v>723</v>
      </c>
      <c r="Q193" s="1037">
        <v>607</v>
      </c>
      <c r="R193" s="1037">
        <v>548</v>
      </c>
      <c r="S193" s="1037">
        <v>207</v>
      </c>
      <c r="T193" s="1039">
        <v>1316</v>
      </c>
    </row>
    <row r="194" spans="1:20" x14ac:dyDescent="0.25">
      <c r="A194" s="975" t="s">
        <v>1009</v>
      </c>
      <c r="B194" s="1037"/>
      <c r="C194" s="1037">
        <v>1</v>
      </c>
      <c r="D194" s="1037"/>
      <c r="E194" s="1037">
        <v>3</v>
      </c>
      <c r="F194" s="1037"/>
      <c r="G194" s="1037"/>
      <c r="H194" s="1037"/>
      <c r="I194" s="1039">
        <v>3</v>
      </c>
      <c r="J194" s="1037"/>
      <c r="K194" s="1037"/>
      <c r="L194" s="1037"/>
      <c r="M194" s="1037"/>
      <c r="N194" s="1039"/>
      <c r="O194" s="1039">
        <v>3</v>
      </c>
      <c r="P194" s="1037"/>
      <c r="Q194" s="1037">
        <v>1</v>
      </c>
      <c r="R194" s="1037">
        <v>2</v>
      </c>
      <c r="S194" s="1037"/>
      <c r="T194" s="1039">
        <v>3</v>
      </c>
    </row>
    <row r="195" spans="1:20" x14ac:dyDescent="0.25">
      <c r="A195" s="975" t="s">
        <v>1010</v>
      </c>
      <c r="B195" s="1037">
        <v>58</v>
      </c>
      <c r="C195" s="1037">
        <v>36</v>
      </c>
      <c r="D195" s="1037"/>
      <c r="E195" s="1037">
        <v>48</v>
      </c>
      <c r="F195" s="1037">
        <v>11</v>
      </c>
      <c r="G195" s="1037">
        <v>1</v>
      </c>
      <c r="H195" s="1037">
        <v>11</v>
      </c>
      <c r="I195" s="1039">
        <v>89</v>
      </c>
      <c r="J195" s="1037">
        <v>15</v>
      </c>
      <c r="K195" s="1037">
        <v>18</v>
      </c>
      <c r="L195" s="1037">
        <v>23</v>
      </c>
      <c r="M195" s="1037">
        <v>1</v>
      </c>
      <c r="N195" s="1039">
        <v>36</v>
      </c>
      <c r="O195" s="1039">
        <v>91</v>
      </c>
      <c r="P195" s="1037">
        <v>80</v>
      </c>
      <c r="Q195" s="1037">
        <v>9</v>
      </c>
      <c r="R195" s="1037">
        <v>25</v>
      </c>
      <c r="S195" s="1037">
        <v>37</v>
      </c>
      <c r="T195" s="1039">
        <v>64</v>
      </c>
    </row>
    <row r="196" spans="1:20" x14ac:dyDescent="0.25">
      <c r="A196" s="954" t="s">
        <v>1011</v>
      </c>
      <c r="B196" s="1037">
        <v>40</v>
      </c>
      <c r="C196" s="1037">
        <v>13</v>
      </c>
      <c r="D196" s="1037"/>
      <c r="E196" s="1037">
        <v>42</v>
      </c>
      <c r="F196" s="1037"/>
      <c r="G196" s="1037"/>
      <c r="H196" s="1037">
        <v>9</v>
      </c>
      <c r="I196" s="1039">
        <v>76</v>
      </c>
      <c r="J196" s="1037">
        <v>1</v>
      </c>
      <c r="K196" s="1037">
        <v>1</v>
      </c>
      <c r="L196" s="1037">
        <v>1</v>
      </c>
      <c r="M196" s="1037"/>
      <c r="N196" s="1039">
        <v>2</v>
      </c>
      <c r="O196" s="1039">
        <v>76</v>
      </c>
      <c r="P196" s="1037">
        <v>42</v>
      </c>
      <c r="Q196" s="1037">
        <v>51</v>
      </c>
      <c r="R196" s="1037">
        <v>25</v>
      </c>
      <c r="S196" s="1037">
        <v>1</v>
      </c>
      <c r="T196" s="1039">
        <v>76</v>
      </c>
    </row>
    <row r="197" spans="1:20" x14ac:dyDescent="0.25">
      <c r="A197" s="954" t="s">
        <v>1012</v>
      </c>
      <c r="B197" s="1037">
        <v>5</v>
      </c>
      <c r="C197" s="1037">
        <v>2</v>
      </c>
      <c r="D197" s="1037"/>
      <c r="E197" s="1037">
        <v>13</v>
      </c>
      <c r="F197" s="1037">
        <v>1</v>
      </c>
      <c r="G197" s="1037"/>
      <c r="H197" s="1037">
        <v>2</v>
      </c>
      <c r="I197" s="1039">
        <v>15</v>
      </c>
      <c r="J197" s="1037"/>
      <c r="K197" s="1037"/>
      <c r="L197" s="1037"/>
      <c r="M197" s="1037"/>
      <c r="N197" s="1039"/>
      <c r="O197" s="1039">
        <v>15</v>
      </c>
      <c r="P197" s="1037">
        <v>8</v>
      </c>
      <c r="Q197" s="1037">
        <v>13</v>
      </c>
      <c r="R197" s="1037">
        <v>2</v>
      </c>
      <c r="S197" s="1037"/>
      <c r="T197" s="1039">
        <v>15</v>
      </c>
    </row>
    <row r="198" spans="1:20" x14ac:dyDescent="0.25">
      <c r="A198" s="954" t="s">
        <v>1013</v>
      </c>
      <c r="B198" s="1037">
        <v>2</v>
      </c>
      <c r="C198" s="1037">
        <v>1</v>
      </c>
      <c r="D198" s="1037"/>
      <c r="E198" s="1037">
        <v>2</v>
      </c>
      <c r="F198" s="1037"/>
      <c r="G198" s="1037"/>
      <c r="H198" s="1037"/>
      <c r="I198" s="1039">
        <v>2</v>
      </c>
      <c r="J198" s="1037"/>
      <c r="K198" s="1037"/>
      <c r="L198" s="1037"/>
      <c r="M198" s="1037"/>
      <c r="N198" s="1039"/>
      <c r="O198" s="1039">
        <v>2</v>
      </c>
      <c r="P198" s="1037">
        <v>2</v>
      </c>
      <c r="Q198" s="1037"/>
      <c r="R198" s="1037">
        <v>2</v>
      </c>
      <c r="S198" s="1037"/>
      <c r="T198" s="1039">
        <v>2</v>
      </c>
    </row>
    <row r="199" spans="1:20" s="948" customFormat="1" x14ac:dyDescent="0.25">
      <c r="A199" s="957" t="s">
        <v>137</v>
      </c>
      <c r="B199" s="914">
        <v>871</v>
      </c>
      <c r="C199" s="914">
        <v>411</v>
      </c>
      <c r="D199" s="914">
        <v>1</v>
      </c>
      <c r="E199" s="914">
        <v>924</v>
      </c>
      <c r="F199" s="914">
        <v>90</v>
      </c>
      <c r="G199" s="914">
        <v>3</v>
      </c>
      <c r="H199" s="914">
        <v>185</v>
      </c>
      <c r="I199" s="1041">
        <v>1549</v>
      </c>
      <c r="J199" s="914">
        <v>99</v>
      </c>
      <c r="K199" s="914">
        <v>59</v>
      </c>
      <c r="L199" s="914">
        <v>102</v>
      </c>
      <c r="M199" s="914">
        <v>15</v>
      </c>
      <c r="N199" s="1041">
        <v>184</v>
      </c>
      <c r="O199" s="1041">
        <v>1588</v>
      </c>
      <c r="P199" s="914">
        <v>855</v>
      </c>
      <c r="Q199" s="914">
        <v>681</v>
      </c>
      <c r="R199" s="914">
        <v>604</v>
      </c>
      <c r="S199" s="914">
        <v>245</v>
      </c>
      <c r="T199" s="1041">
        <v>1476</v>
      </c>
    </row>
    <row r="200" spans="1:20" s="948" customFormat="1" x14ac:dyDescent="0.25">
      <c r="A200" s="960" t="s">
        <v>996</v>
      </c>
      <c r="B200" s="1043">
        <v>2890</v>
      </c>
      <c r="C200" s="1043">
        <v>1127</v>
      </c>
      <c r="D200" s="1043">
        <v>28</v>
      </c>
      <c r="E200" s="1043">
        <v>2902</v>
      </c>
      <c r="F200" s="1043">
        <v>307</v>
      </c>
      <c r="G200" s="1043">
        <v>23</v>
      </c>
      <c r="H200" s="1043">
        <v>780</v>
      </c>
      <c r="I200" s="1043">
        <v>4894</v>
      </c>
      <c r="J200" s="1043">
        <v>308</v>
      </c>
      <c r="K200" s="1043">
        <v>116</v>
      </c>
      <c r="L200" s="1043">
        <v>175</v>
      </c>
      <c r="M200" s="1043">
        <v>51</v>
      </c>
      <c r="N200" s="1043">
        <v>472</v>
      </c>
      <c r="O200" s="1043">
        <v>4998</v>
      </c>
      <c r="P200" s="1043">
        <v>2712</v>
      </c>
      <c r="Q200" s="1043">
        <v>2894</v>
      </c>
      <c r="R200" s="1043">
        <v>1507</v>
      </c>
      <c r="S200" s="1043">
        <v>516</v>
      </c>
      <c r="T200" s="1043">
        <v>4775</v>
      </c>
    </row>
  </sheetData>
  <mergeCells count="20">
    <mergeCell ref="A100:A101"/>
    <mergeCell ref="B100:I100"/>
    <mergeCell ref="J100:N100"/>
    <mergeCell ref="O100:T100"/>
    <mergeCell ref="A1:T1"/>
    <mergeCell ref="A2:A3"/>
    <mergeCell ref="B2:I2"/>
    <mergeCell ref="J2:N2"/>
    <mergeCell ref="O2:T2"/>
    <mergeCell ref="A87:T87"/>
    <mergeCell ref="A88:A89"/>
    <mergeCell ref="B88:I88"/>
    <mergeCell ref="J88:N88"/>
    <mergeCell ref="O88:T88"/>
    <mergeCell ref="A99:T99"/>
    <mergeCell ref="A183:T183"/>
    <mergeCell ref="A184:A185"/>
    <mergeCell ref="B184:I184"/>
    <mergeCell ref="J184:N184"/>
    <mergeCell ref="O184:T184"/>
  </mergeCells>
  <pageMargins left="0.7" right="0.7" top="0.75" bottom="0.75" header="0.3" footer="0.3"/>
  <pageSetup paperSize="9" orientation="portrait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200"/>
  <sheetViews>
    <sheetView zoomScale="85" zoomScaleNormal="85" workbookViewId="0">
      <selection sqref="A1:T1"/>
    </sheetView>
  </sheetViews>
  <sheetFormatPr defaultRowHeight="15" x14ac:dyDescent="0.25"/>
  <cols>
    <col min="1" max="1" width="68.5703125" style="905" bestFit="1" customWidth="1"/>
    <col min="2" max="20" width="22.85546875" style="905" customWidth="1"/>
    <col min="21" max="16384" width="9.140625" style="905"/>
  </cols>
  <sheetData>
    <row r="1" spans="1:20" ht="39" customHeight="1" x14ac:dyDescent="0.25">
      <c r="A1" s="1070" t="s">
        <v>1054</v>
      </c>
      <c r="B1" s="1057"/>
      <c r="C1" s="1057"/>
      <c r="D1" s="1057"/>
      <c r="E1" s="1057"/>
      <c r="F1" s="1057"/>
      <c r="G1" s="1057"/>
      <c r="H1" s="1057"/>
      <c r="I1" s="1057"/>
      <c r="J1" s="1057"/>
      <c r="K1" s="1057"/>
      <c r="L1" s="1057"/>
      <c r="M1" s="1057"/>
      <c r="N1" s="1057"/>
      <c r="O1" s="1057"/>
      <c r="P1" s="1057"/>
      <c r="Q1" s="1057"/>
      <c r="R1" s="1057"/>
      <c r="S1" s="1057"/>
      <c r="T1" s="1058"/>
    </row>
    <row r="2" spans="1:20" x14ac:dyDescent="0.25">
      <c r="A2" s="1059" t="s">
        <v>493</v>
      </c>
      <c r="B2" s="1061" t="s">
        <v>1051</v>
      </c>
      <c r="C2" s="1062"/>
      <c r="D2" s="1062"/>
      <c r="E2" s="1062"/>
      <c r="F2" s="1062"/>
      <c r="G2" s="1062"/>
      <c r="H2" s="1062"/>
      <c r="I2" s="1063"/>
      <c r="J2" s="1064" t="s">
        <v>1052</v>
      </c>
      <c r="K2" s="1065"/>
      <c r="L2" s="1065"/>
      <c r="M2" s="1065"/>
      <c r="N2" s="1066"/>
      <c r="O2" s="1067" t="s">
        <v>1053</v>
      </c>
      <c r="P2" s="1068"/>
      <c r="Q2" s="1068"/>
      <c r="R2" s="1068"/>
      <c r="S2" s="1068"/>
      <c r="T2" s="1069"/>
    </row>
    <row r="3" spans="1:20" s="909" customFormat="1" ht="60" x14ac:dyDescent="0.25">
      <c r="A3" s="1060"/>
      <c r="B3" s="951" t="s">
        <v>909</v>
      </c>
      <c r="C3" s="951" t="s">
        <v>882</v>
      </c>
      <c r="D3" s="951" t="s">
        <v>910</v>
      </c>
      <c r="E3" s="951" t="s">
        <v>883</v>
      </c>
      <c r="F3" s="951" t="s">
        <v>911</v>
      </c>
      <c r="G3" s="951" t="s">
        <v>912</v>
      </c>
      <c r="H3" s="951" t="s">
        <v>913</v>
      </c>
      <c r="I3" s="951" t="s">
        <v>914</v>
      </c>
      <c r="J3" s="952" t="s">
        <v>640</v>
      </c>
      <c r="K3" s="952" t="s">
        <v>882</v>
      </c>
      <c r="L3" s="952" t="s">
        <v>885</v>
      </c>
      <c r="M3" s="952" t="s">
        <v>913</v>
      </c>
      <c r="N3" s="952" t="s">
        <v>915</v>
      </c>
      <c r="O3" s="953" t="s">
        <v>139</v>
      </c>
      <c r="P3" s="953" t="s">
        <v>916</v>
      </c>
      <c r="Q3" s="953" t="s">
        <v>917</v>
      </c>
      <c r="R3" s="953" t="s">
        <v>918</v>
      </c>
      <c r="S3" s="953" t="s">
        <v>919</v>
      </c>
      <c r="T3" s="953" t="s">
        <v>920</v>
      </c>
    </row>
    <row r="4" spans="1:20" x14ac:dyDescent="0.25">
      <c r="A4" s="910" t="s">
        <v>110</v>
      </c>
      <c r="B4" s="1022">
        <v>89</v>
      </c>
      <c r="C4" s="1022">
        <v>50</v>
      </c>
      <c r="D4" s="1023">
        <v>1</v>
      </c>
      <c r="E4" s="1022">
        <v>112</v>
      </c>
      <c r="F4" s="1022">
        <v>28</v>
      </c>
      <c r="G4" s="1023">
        <v>2</v>
      </c>
      <c r="H4" s="1022">
        <v>110</v>
      </c>
      <c r="I4" s="914">
        <v>361</v>
      </c>
      <c r="J4" s="1022"/>
      <c r="K4" s="1022"/>
      <c r="L4" s="1022"/>
      <c r="M4" s="1022"/>
      <c r="N4" s="914"/>
      <c r="O4" s="914">
        <v>361</v>
      </c>
      <c r="P4" s="1022">
        <v>220</v>
      </c>
      <c r="Q4" s="1022">
        <v>315</v>
      </c>
      <c r="R4" s="1022">
        <v>6</v>
      </c>
      <c r="S4" s="1022">
        <v>4</v>
      </c>
      <c r="T4" s="1022">
        <v>325</v>
      </c>
    </row>
    <row r="5" spans="1:20" x14ac:dyDescent="0.25">
      <c r="A5" s="917" t="s">
        <v>922</v>
      </c>
      <c r="B5" s="1024">
        <v>88</v>
      </c>
      <c r="C5" s="1024">
        <v>49</v>
      </c>
      <c r="D5" s="1025">
        <v>1</v>
      </c>
      <c r="E5" s="1024">
        <v>109</v>
      </c>
      <c r="F5" s="1024">
        <v>25</v>
      </c>
      <c r="G5" s="1025">
        <v>2</v>
      </c>
      <c r="H5" s="1024">
        <v>104</v>
      </c>
      <c r="I5" s="921">
        <v>349</v>
      </c>
      <c r="J5" s="1024"/>
      <c r="K5" s="1024"/>
      <c r="L5" s="1024"/>
      <c r="M5" s="1024"/>
      <c r="N5" s="921"/>
      <c r="O5" s="922">
        <v>349</v>
      </c>
      <c r="P5" s="1024">
        <v>210</v>
      </c>
      <c r="Q5" s="1024">
        <v>307</v>
      </c>
      <c r="R5" s="1024">
        <v>5</v>
      </c>
      <c r="S5" s="1024">
        <v>4</v>
      </c>
      <c r="T5" s="1026">
        <v>316</v>
      </c>
    </row>
    <row r="6" spans="1:20" x14ac:dyDescent="0.25">
      <c r="A6" s="917" t="s">
        <v>923</v>
      </c>
      <c r="B6" s="1024"/>
      <c r="C6" s="1024"/>
      <c r="D6" s="1025"/>
      <c r="E6" s="1024"/>
      <c r="F6" s="1024"/>
      <c r="G6" s="1025"/>
      <c r="H6" s="1024"/>
      <c r="I6" s="921"/>
      <c r="J6" s="1024"/>
      <c r="K6" s="1024"/>
      <c r="L6" s="1024"/>
      <c r="M6" s="1024"/>
      <c r="N6" s="921"/>
      <c r="O6" s="922"/>
      <c r="P6" s="1024"/>
      <c r="Q6" s="1024"/>
      <c r="R6" s="1024"/>
      <c r="S6" s="1024"/>
      <c r="T6" s="1026"/>
    </row>
    <row r="7" spans="1:20" x14ac:dyDescent="0.25">
      <c r="A7" s="917" t="s">
        <v>924</v>
      </c>
      <c r="B7" s="1024"/>
      <c r="C7" s="1024"/>
      <c r="D7" s="1025"/>
      <c r="E7" s="1024"/>
      <c r="F7" s="1024"/>
      <c r="G7" s="1025"/>
      <c r="H7" s="1024"/>
      <c r="I7" s="921"/>
      <c r="J7" s="1024"/>
      <c r="K7" s="1024"/>
      <c r="L7" s="1024"/>
      <c r="M7" s="1024"/>
      <c r="N7" s="921"/>
      <c r="O7" s="922"/>
      <c r="P7" s="1024"/>
      <c r="Q7" s="1024"/>
      <c r="R7" s="1024"/>
      <c r="S7" s="1024"/>
      <c r="T7" s="1026"/>
    </row>
    <row r="8" spans="1:20" x14ac:dyDescent="0.25">
      <c r="A8" s="917" t="s">
        <v>925</v>
      </c>
      <c r="B8" s="1024"/>
      <c r="C8" s="1024"/>
      <c r="D8" s="1025"/>
      <c r="E8" s="1024"/>
      <c r="F8" s="1024"/>
      <c r="G8" s="1025"/>
      <c r="H8" s="1024">
        <v>1</v>
      </c>
      <c r="I8" s="921">
        <v>1</v>
      </c>
      <c r="J8" s="1024"/>
      <c r="K8" s="1024"/>
      <c r="L8" s="1024"/>
      <c r="M8" s="1024"/>
      <c r="N8" s="921"/>
      <c r="O8" s="922">
        <v>1</v>
      </c>
      <c r="P8" s="1024">
        <v>1</v>
      </c>
      <c r="Q8" s="1024">
        <v>1</v>
      </c>
      <c r="R8" s="1024"/>
      <c r="S8" s="1024"/>
      <c r="T8" s="1026">
        <v>1</v>
      </c>
    </row>
    <row r="9" spans="1:20" x14ac:dyDescent="0.25">
      <c r="A9" s="917" t="s">
        <v>926</v>
      </c>
      <c r="B9" s="1024"/>
      <c r="C9" s="1024"/>
      <c r="D9" s="1025"/>
      <c r="E9" s="1024"/>
      <c r="F9" s="1024"/>
      <c r="G9" s="1025"/>
      <c r="H9" s="1024"/>
      <c r="I9" s="921"/>
      <c r="J9" s="1024"/>
      <c r="K9" s="1024"/>
      <c r="L9" s="1024"/>
      <c r="M9" s="1024"/>
      <c r="N9" s="921"/>
      <c r="O9" s="922"/>
      <c r="P9" s="1024"/>
      <c r="Q9" s="1024"/>
      <c r="R9" s="1024"/>
      <c r="S9" s="1024"/>
      <c r="T9" s="1026"/>
    </row>
    <row r="10" spans="1:20" x14ac:dyDescent="0.25">
      <c r="A10" s="917" t="s">
        <v>927</v>
      </c>
      <c r="B10" s="1024">
        <v>1</v>
      </c>
      <c r="C10" s="1024">
        <v>1</v>
      </c>
      <c r="D10" s="1025"/>
      <c r="E10" s="1024">
        <v>3</v>
      </c>
      <c r="F10" s="1024">
        <v>3</v>
      </c>
      <c r="G10" s="1025"/>
      <c r="H10" s="1024">
        <v>5</v>
      </c>
      <c r="I10" s="921">
        <v>11</v>
      </c>
      <c r="J10" s="1024"/>
      <c r="K10" s="1024"/>
      <c r="L10" s="1024"/>
      <c r="M10" s="1024"/>
      <c r="N10" s="921"/>
      <c r="O10" s="922">
        <v>11</v>
      </c>
      <c r="P10" s="1024">
        <v>9</v>
      </c>
      <c r="Q10" s="1024">
        <v>7</v>
      </c>
      <c r="R10" s="1024">
        <v>1</v>
      </c>
      <c r="S10" s="1024"/>
      <c r="T10" s="1026">
        <v>8</v>
      </c>
    </row>
    <row r="11" spans="1:20" x14ac:dyDescent="0.25">
      <c r="A11" s="910" t="s">
        <v>928</v>
      </c>
      <c r="B11" s="1022">
        <v>21</v>
      </c>
      <c r="C11" s="1022">
        <v>7</v>
      </c>
      <c r="D11" s="1023"/>
      <c r="E11" s="1022">
        <v>34</v>
      </c>
      <c r="F11" s="1022">
        <v>4</v>
      </c>
      <c r="G11" s="1023"/>
      <c r="H11" s="1022">
        <v>28</v>
      </c>
      <c r="I11" s="914">
        <v>87</v>
      </c>
      <c r="J11" s="1022"/>
      <c r="K11" s="1022"/>
      <c r="L11" s="1022"/>
      <c r="M11" s="1022"/>
      <c r="N11" s="914"/>
      <c r="O11" s="914">
        <v>87</v>
      </c>
      <c r="P11" s="1022">
        <v>50</v>
      </c>
      <c r="Q11" s="1022">
        <v>73</v>
      </c>
      <c r="R11" s="1022">
        <v>6</v>
      </c>
      <c r="S11" s="1022">
        <v>1</v>
      </c>
      <c r="T11" s="1022">
        <v>80</v>
      </c>
    </row>
    <row r="12" spans="1:20" x14ac:dyDescent="0.25">
      <c r="A12" s="917" t="s">
        <v>929</v>
      </c>
      <c r="B12" s="1024">
        <v>6</v>
      </c>
      <c r="C12" s="1024">
        <v>2</v>
      </c>
      <c r="D12" s="1025"/>
      <c r="E12" s="1024">
        <v>3</v>
      </c>
      <c r="F12" s="1024"/>
      <c r="G12" s="1025"/>
      <c r="H12" s="1024">
        <v>6</v>
      </c>
      <c r="I12" s="921">
        <v>15</v>
      </c>
      <c r="J12" s="1024"/>
      <c r="K12" s="1024"/>
      <c r="L12" s="1024"/>
      <c r="M12" s="1024"/>
      <c r="N12" s="921"/>
      <c r="O12" s="922">
        <v>15</v>
      </c>
      <c r="P12" s="1024">
        <v>11</v>
      </c>
      <c r="Q12" s="1024">
        <v>11</v>
      </c>
      <c r="R12" s="1024">
        <v>2</v>
      </c>
      <c r="S12" s="1024"/>
      <c r="T12" s="1026">
        <v>13</v>
      </c>
    </row>
    <row r="13" spans="1:20" x14ac:dyDescent="0.25">
      <c r="A13" s="917" t="s">
        <v>930</v>
      </c>
      <c r="B13" s="1024">
        <v>6</v>
      </c>
      <c r="C13" s="1024">
        <v>4</v>
      </c>
      <c r="D13" s="1025"/>
      <c r="E13" s="1024">
        <v>7</v>
      </c>
      <c r="F13" s="1024">
        <v>1</v>
      </c>
      <c r="G13" s="1025"/>
      <c r="H13" s="1024">
        <v>8</v>
      </c>
      <c r="I13" s="921">
        <v>24</v>
      </c>
      <c r="J13" s="1024"/>
      <c r="K13" s="1024"/>
      <c r="L13" s="1024"/>
      <c r="M13" s="1024"/>
      <c r="N13" s="921"/>
      <c r="O13" s="922">
        <v>24</v>
      </c>
      <c r="P13" s="1024">
        <v>17</v>
      </c>
      <c r="Q13" s="1024">
        <v>19</v>
      </c>
      <c r="R13" s="1024">
        <v>1</v>
      </c>
      <c r="S13" s="1024">
        <v>1</v>
      </c>
      <c r="T13" s="1026">
        <v>21</v>
      </c>
    </row>
    <row r="14" spans="1:20" x14ac:dyDescent="0.25">
      <c r="A14" s="917" t="s">
        <v>931</v>
      </c>
      <c r="B14" s="1024"/>
      <c r="C14" s="1024"/>
      <c r="D14" s="1025"/>
      <c r="E14" s="1024">
        <v>2</v>
      </c>
      <c r="F14" s="1024"/>
      <c r="G14" s="1025"/>
      <c r="H14" s="1024"/>
      <c r="I14" s="921">
        <v>2</v>
      </c>
      <c r="J14" s="1024"/>
      <c r="K14" s="1024"/>
      <c r="L14" s="1024"/>
      <c r="M14" s="1024"/>
      <c r="N14" s="921"/>
      <c r="O14" s="922">
        <v>2</v>
      </c>
      <c r="P14" s="1024"/>
      <c r="Q14" s="1024">
        <v>2</v>
      </c>
      <c r="R14" s="1024"/>
      <c r="S14" s="1024"/>
      <c r="T14" s="1026">
        <v>2</v>
      </c>
    </row>
    <row r="15" spans="1:20" x14ac:dyDescent="0.25">
      <c r="A15" s="917" t="s">
        <v>932</v>
      </c>
      <c r="B15" s="1024"/>
      <c r="C15" s="1024"/>
      <c r="D15" s="1025"/>
      <c r="E15" s="1024"/>
      <c r="F15" s="1024"/>
      <c r="G15" s="1025"/>
      <c r="H15" s="1024"/>
      <c r="I15" s="921"/>
      <c r="J15" s="1024"/>
      <c r="K15" s="1024"/>
      <c r="L15" s="1024"/>
      <c r="M15" s="1024"/>
      <c r="N15" s="921"/>
      <c r="O15" s="922"/>
      <c r="P15" s="1024"/>
      <c r="Q15" s="1024"/>
      <c r="R15" s="1024"/>
      <c r="S15" s="1024"/>
      <c r="T15" s="1026"/>
    </row>
    <row r="16" spans="1:20" x14ac:dyDescent="0.25">
      <c r="A16" s="917" t="s">
        <v>933</v>
      </c>
      <c r="B16" s="1024">
        <v>3</v>
      </c>
      <c r="C16" s="1024"/>
      <c r="D16" s="1025"/>
      <c r="E16" s="1024">
        <v>2</v>
      </c>
      <c r="F16" s="1024"/>
      <c r="G16" s="1025"/>
      <c r="H16" s="1024">
        <v>4</v>
      </c>
      <c r="I16" s="921">
        <v>9</v>
      </c>
      <c r="J16" s="1024"/>
      <c r="K16" s="1024"/>
      <c r="L16" s="1024"/>
      <c r="M16" s="1024"/>
      <c r="N16" s="921"/>
      <c r="O16" s="922">
        <v>9</v>
      </c>
      <c r="P16" s="1024">
        <v>7</v>
      </c>
      <c r="Q16" s="1024">
        <v>9</v>
      </c>
      <c r="R16" s="1024"/>
      <c r="S16" s="1024"/>
      <c r="T16" s="1026">
        <v>9</v>
      </c>
    </row>
    <row r="17" spans="1:20" x14ac:dyDescent="0.25">
      <c r="A17" s="917" t="s">
        <v>934</v>
      </c>
      <c r="B17" s="1024">
        <v>4</v>
      </c>
      <c r="C17" s="1024"/>
      <c r="D17" s="1025"/>
      <c r="E17" s="1024">
        <v>9</v>
      </c>
      <c r="F17" s="1024">
        <v>1</v>
      </c>
      <c r="G17" s="1025"/>
      <c r="H17" s="1024">
        <v>5</v>
      </c>
      <c r="I17" s="921">
        <v>18</v>
      </c>
      <c r="J17" s="1024"/>
      <c r="K17" s="1024"/>
      <c r="L17" s="1024"/>
      <c r="M17" s="1024"/>
      <c r="N17" s="921"/>
      <c r="O17" s="922">
        <v>18</v>
      </c>
      <c r="P17" s="1024">
        <v>8</v>
      </c>
      <c r="Q17" s="1024">
        <v>15</v>
      </c>
      <c r="R17" s="1024">
        <v>2</v>
      </c>
      <c r="S17" s="1024"/>
      <c r="T17" s="1026">
        <v>17</v>
      </c>
    </row>
    <row r="18" spans="1:20" x14ac:dyDescent="0.25">
      <c r="A18" s="917" t="s">
        <v>935</v>
      </c>
      <c r="B18" s="1024">
        <v>1</v>
      </c>
      <c r="C18" s="1024">
        <v>1</v>
      </c>
      <c r="D18" s="1025"/>
      <c r="E18" s="1024">
        <v>5</v>
      </c>
      <c r="F18" s="1024">
        <v>2</v>
      </c>
      <c r="G18" s="1025"/>
      <c r="H18" s="1024">
        <v>2</v>
      </c>
      <c r="I18" s="921">
        <v>9</v>
      </c>
      <c r="J18" s="1024"/>
      <c r="K18" s="1024"/>
      <c r="L18" s="1024"/>
      <c r="M18" s="1024"/>
      <c r="N18" s="921"/>
      <c r="O18" s="922">
        <v>9</v>
      </c>
      <c r="P18" s="1024">
        <v>2</v>
      </c>
      <c r="Q18" s="1024">
        <v>8</v>
      </c>
      <c r="R18" s="1024">
        <v>1</v>
      </c>
      <c r="S18" s="1024"/>
      <c r="T18" s="1026">
        <v>9</v>
      </c>
    </row>
    <row r="19" spans="1:20" x14ac:dyDescent="0.25">
      <c r="A19" s="917" t="s">
        <v>936</v>
      </c>
      <c r="B19" s="1024">
        <v>1</v>
      </c>
      <c r="C19" s="1024"/>
      <c r="D19" s="1025"/>
      <c r="E19" s="1024">
        <v>6</v>
      </c>
      <c r="F19" s="1024"/>
      <c r="G19" s="1025"/>
      <c r="H19" s="1024">
        <v>2</v>
      </c>
      <c r="I19" s="921">
        <v>9</v>
      </c>
      <c r="J19" s="1024"/>
      <c r="K19" s="1024"/>
      <c r="L19" s="1024"/>
      <c r="M19" s="1024"/>
      <c r="N19" s="921"/>
      <c r="O19" s="922">
        <v>9</v>
      </c>
      <c r="P19" s="1024">
        <v>4</v>
      </c>
      <c r="Q19" s="1024">
        <v>8</v>
      </c>
      <c r="R19" s="1024"/>
      <c r="S19" s="1024"/>
      <c r="T19" s="1026">
        <v>8</v>
      </c>
    </row>
    <row r="20" spans="1:20" x14ac:dyDescent="0.25">
      <c r="A20" s="917" t="s">
        <v>937</v>
      </c>
      <c r="B20" s="1024"/>
      <c r="C20" s="1024"/>
      <c r="D20" s="1025"/>
      <c r="E20" s="1024"/>
      <c r="F20" s="1024"/>
      <c r="G20" s="1025"/>
      <c r="H20" s="1024"/>
      <c r="I20" s="921"/>
      <c r="J20" s="1024"/>
      <c r="K20" s="1024"/>
      <c r="L20" s="1024"/>
      <c r="M20" s="1024"/>
      <c r="N20" s="921"/>
      <c r="O20" s="922"/>
      <c r="P20" s="1024"/>
      <c r="Q20" s="1024"/>
      <c r="R20" s="1024"/>
      <c r="S20" s="1024"/>
      <c r="T20" s="1026"/>
    </row>
    <row r="21" spans="1:20" x14ac:dyDescent="0.25">
      <c r="A21" s="917" t="s">
        <v>938</v>
      </c>
      <c r="B21" s="1024"/>
      <c r="C21" s="1024"/>
      <c r="D21" s="1025"/>
      <c r="E21" s="1024"/>
      <c r="F21" s="1024"/>
      <c r="G21" s="1025"/>
      <c r="H21" s="1024"/>
      <c r="I21" s="921"/>
      <c r="J21" s="1024"/>
      <c r="K21" s="1024"/>
      <c r="L21" s="1024"/>
      <c r="M21" s="1024"/>
      <c r="N21" s="921"/>
      <c r="O21" s="922"/>
      <c r="P21" s="1024"/>
      <c r="Q21" s="1024"/>
      <c r="R21" s="1024"/>
      <c r="S21" s="1024"/>
      <c r="T21" s="1026"/>
    </row>
    <row r="22" spans="1:20" x14ac:dyDescent="0.25">
      <c r="A22" s="917" t="s">
        <v>939</v>
      </c>
      <c r="B22" s="1024"/>
      <c r="C22" s="1024"/>
      <c r="D22" s="1025"/>
      <c r="E22" s="1024"/>
      <c r="F22" s="1024"/>
      <c r="G22" s="1025"/>
      <c r="H22" s="1024">
        <v>1</v>
      </c>
      <c r="I22" s="921">
        <v>1</v>
      </c>
      <c r="J22" s="1024"/>
      <c r="K22" s="1024"/>
      <c r="L22" s="1024"/>
      <c r="M22" s="1024"/>
      <c r="N22" s="921"/>
      <c r="O22" s="922">
        <v>1</v>
      </c>
      <c r="P22" s="1024">
        <v>1</v>
      </c>
      <c r="Q22" s="1024">
        <v>1</v>
      </c>
      <c r="R22" s="1024"/>
      <c r="S22" s="1024"/>
      <c r="T22" s="1026">
        <v>1</v>
      </c>
    </row>
    <row r="23" spans="1:20" x14ac:dyDescent="0.25">
      <c r="A23" s="917" t="s">
        <v>940</v>
      </c>
      <c r="B23" s="1024"/>
      <c r="C23" s="1024"/>
      <c r="D23" s="1025"/>
      <c r="E23" s="1024"/>
      <c r="F23" s="1024"/>
      <c r="G23" s="1025"/>
      <c r="H23" s="1024"/>
      <c r="I23" s="921"/>
      <c r="J23" s="1024"/>
      <c r="K23" s="1024"/>
      <c r="L23" s="1024"/>
      <c r="M23" s="1024"/>
      <c r="N23" s="921"/>
      <c r="O23" s="922"/>
      <c r="P23" s="1024"/>
      <c r="Q23" s="1024"/>
      <c r="R23" s="1024"/>
      <c r="S23" s="1024"/>
      <c r="T23" s="1026"/>
    </row>
    <row r="24" spans="1:20" x14ac:dyDescent="0.25">
      <c r="A24" s="910" t="s">
        <v>229</v>
      </c>
      <c r="B24" s="1022">
        <v>17</v>
      </c>
      <c r="C24" s="1022">
        <v>7</v>
      </c>
      <c r="D24" s="1023">
        <v>1</v>
      </c>
      <c r="E24" s="1022">
        <v>54</v>
      </c>
      <c r="F24" s="1022">
        <v>4</v>
      </c>
      <c r="G24" s="1023"/>
      <c r="H24" s="1022">
        <v>21</v>
      </c>
      <c r="I24" s="914">
        <v>96</v>
      </c>
      <c r="J24" s="1022">
        <v>1</v>
      </c>
      <c r="K24" s="1022"/>
      <c r="L24" s="1022"/>
      <c r="M24" s="1022"/>
      <c r="N24" s="914">
        <v>1</v>
      </c>
      <c r="O24" s="914">
        <v>97</v>
      </c>
      <c r="P24" s="1022">
        <v>42</v>
      </c>
      <c r="Q24" s="1022">
        <v>76</v>
      </c>
      <c r="R24" s="1022">
        <v>3</v>
      </c>
      <c r="S24" s="1022"/>
      <c r="T24" s="1022">
        <v>79</v>
      </c>
    </row>
    <row r="25" spans="1:20" x14ac:dyDescent="0.25">
      <c r="A25" s="917" t="s">
        <v>941</v>
      </c>
      <c r="B25" s="1024">
        <v>6</v>
      </c>
      <c r="C25" s="1024">
        <v>3</v>
      </c>
      <c r="D25" s="1025"/>
      <c r="E25" s="1024">
        <v>28</v>
      </c>
      <c r="F25" s="1024">
        <v>2</v>
      </c>
      <c r="G25" s="1025"/>
      <c r="H25" s="1024">
        <v>3</v>
      </c>
      <c r="I25" s="921">
        <v>39</v>
      </c>
      <c r="J25" s="1024"/>
      <c r="K25" s="1024"/>
      <c r="L25" s="1024"/>
      <c r="M25" s="1024"/>
      <c r="N25" s="921"/>
      <c r="O25" s="922">
        <v>39</v>
      </c>
      <c r="P25" s="1024">
        <v>13</v>
      </c>
      <c r="Q25" s="1024">
        <v>30</v>
      </c>
      <c r="R25" s="1024">
        <v>1</v>
      </c>
      <c r="S25" s="1024"/>
      <c r="T25" s="1026">
        <v>31</v>
      </c>
    </row>
    <row r="26" spans="1:20" x14ac:dyDescent="0.25">
      <c r="A26" s="917" t="s">
        <v>942</v>
      </c>
      <c r="B26" s="1024">
        <v>3</v>
      </c>
      <c r="C26" s="1024"/>
      <c r="D26" s="1025"/>
      <c r="E26" s="1024">
        <v>5</v>
      </c>
      <c r="F26" s="1024">
        <v>2</v>
      </c>
      <c r="G26" s="1025"/>
      <c r="H26" s="1024">
        <v>8</v>
      </c>
      <c r="I26" s="921">
        <v>16</v>
      </c>
      <c r="J26" s="1024"/>
      <c r="K26" s="1024"/>
      <c r="L26" s="1024"/>
      <c r="M26" s="1024"/>
      <c r="N26" s="921"/>
      <c r="O26" s="922">
        <v>16</v>
      </c>
      <c r="P26" s="1024">
        <v>12</v>
      </c>
      <c r="Q26" s="1024">
        <v>13</v>
      </c>
      <c r="R26" s="1024"/>
      <c r="S26" s="1024"/>
      <c r="T26" s="1026">
        <v>13</v>
      </c>
    </row>
    <row r="27" spans="1:20" x14ac:dyDescent="0.25">
      <c r="A27" s="917" t="s">
        <v>943</v>
      </c>
      <c r="B27" s="1024"/>
      <c r="C27" s="1024"/>
      <c r="D27" s="1025"/>
      <c r="E27" s="1024"/>
      <c r="F27" s="1024"/>
      <c r="G27" s="1025"/>
      <c r="H27" s="1024"/>
      <c r="I27" s="921"/>
      <c r="J27" s="1024"/>
      <c r="K27" s="1024"/>
      <c r="L27" s="1024"/>
      <c r="M27" s="1024"/>
      <c r="N27" s="921"/>
      <c r="O27" s="922"/>
      <c r="P27" s="1024"/>
      <c r="Q27" s="1024"/>
      <c r="R27" s="1024"/>
      <c r="S27" s="1024"/>
      <c r="T27" s="1026"/>
    </row>
    <row r="28" spans="1:20" x14ac:dyDescent="0.25">
      <c r="A28" s="917" t="s">
        <v>944</v>
      </c>
      <c r="B28" s="1024"/>
      <c r="C28" s="1024"/>
      <c r="D28" s="1025"/>
      <c r="E28" s="1024"/>
      <c r="F28" s="1024"/>
      <c r="G28" s="1025"/>
      <c r="H28" s="1024"/>
      <c r="I28" s="921"/>
      <c r="J28" s="1024"/>
      <c r="K28" s="1024"/>
      <c r="L28" s="1024"/>
      <c r="M28" s="1024"/>
      <c r="N28" s="921"/>
      <c r="O28" s="922"/>
      <c r="P28" s="1024"/>
      <c r="Q28" s="1024"/>
      <c r="R28" s="1024"/>
      <c r="S28" s="1024"/>
      <c r="T28" s="1026"/>
    </row>
    <row r="29" spans="1:20" x14ac:dyDescent="0.25">
      <c r="A29" s="917" t="s">
        <v>945</v>
      </c>
      <c r="B29" s="1024">
        <v>5</v>
      </c>
      <c r="C29" s="1024">
        <v>3</v>
      </c>
      <c r="D29" s="1025">
        <v>1</v>
      </c>
      <c r="E29" s="1024">
        <v>18</v>
      </c>
      <c r="F29" s="1024"/>
      <c r="G29" s="1025"/>
      <c r="H29" s="1024">
        <v>6</v>
      </c>
      <c r="I29" s="921">
        <v>30</v>
      </c>
      <c r="J29" s="1024">
        <v>1</v>
      </c>
      <c r="K29" s="1024"/>
      <c r="L29" s="1024"/>
      <c r="M29" s="1024"/>
      <c r="N29" s="921">
        <v>1</v>
      </c>
      <c r="O29" s="922">
        <v>31</v>
      </c>
      <c r="P29" s="1024">
        <v>12</v>
      </c>
      <c r="Q29" s="1024">
        <v>25</v>
      </c>
      <c r="R29" s="1024">
        <v>2</v>
      </c>
      <c r="S29" s="1024"/>
      <c r="T29" s="1026">
        <v>27</v>
      </c>
    </row>
    <row r="30" spans="1:20" x14ac:dyDescent="0.25">
      <c r="A30" s="917" t="s">
        <v>946</v>
      </c>
      <c r="B30" s="1024">
        <v>1</v>
      </c>
      <c r="C30" s="1024">
        <v>1</v>
      </c>
      <c r="D30" s="1025"/>
      <c r="E30" s="1024">
        <v>2</v>
      </c>
      <c r="F30" s="1024"/>
      <c r="G30" s="1025"/>
      <c r="H30" s="1024">
        <v>2</v>
      </c>
      <c r="I30" s="921">
        <v>6</v>
      </c>
      <c r="J30" s="1024"/>
      <c r="K30" s="1024"/>
      <c r="L30" s="1024"/>
      <c r="M30" s="1024"/>
      <c r="N30" s="921"/>
      <c r="O30" s="922">
        <v>6</v>
      </c>
      <c r="P30" s="1024">
        <v>2</v>
      </c>
      <c r="Q30" s="1024">
        <v>4</v>
      </c>
      <c r="R30" s="1024"/>
      <c r="S30" s="1024"/>
      <c r="T30" s="1026">
        <v>4</v>
      </c>
    </row>
    <row r="31" spans="1:20" x14ac:dyDescent="0.25">
      <c r="A31" s="917" t="s">
        <v>947</v>
      </c>
      <c r="B31" s="1024"/>
      <c r="C31" s="1024"/>
      <c r="D31" s="1025"/>
      <c r="E31" s="1024"/>
      <c r="F31" s="1024"/>
      <c r="G31" s="1025"/>
      <c r="H31" s="1024"/>
      <c r="I31" s="921"/>
      <c r="J31" s="1024"/>
      <c r="K31" s="1024"/>
      <c r="L31" s="1024"/>
      <c r="M31" s="1024"/>
      <c r="N31" s="921"/>
      <c r="O31" s="922"/>
      <c r="P31" s="1024"/>
      <c r="Q31" s="1024"/>
      <c r="R31" s="1024"/>
      <c r="S31" s="1024"/>
      <c r="T31" s="1026"/>
    </row>
    <row r="32" spans="1:20" x14ac:dyDescent="0.25">
      <c r="A32" s="917" t="s">
        <v>948</v>
      </c>
      <c r="B32" s="1024"/>
      <c r="C32" s="1024"/>
      <c r="D32" s="1025"/>
      <c r="E32" s="1024"/>
      <c r="F32" s="1024"/>
      <c r="G32" s="1025"/>
      <c r="H32" s="1024"/>
      <c r="I32" s="921"/>
      <c r="J32" s="1024"/>
      <c r="K32" s="1024"/>
      <c r="L32" s="1024"/>
      <c r="M32" s="1024"/>
      <c r="N32" s="921"/>
      <c r="O32" s="922"/>
      <c r="P32" s="1024"/>
      <c r="Q32" s="1024"/>
      <c r="R32" s="1024"/>
      <c r="S32" s="1024"/>
      <c r="T32" s="1026"/>
    </row>
    <row r="33" spans="1:20" x14ac:dyDescent="0.25">
      <c r="A33" s="917" t="s">
        <v>949</v>
      </c>
      <c r="B33" s="1024">
        <v>1</v>
      </c>
      <c r="C33" s="1024"/>
      <c r="D33" s="1025"/>
      <c r="E33" s="1024"/>
      <c r="F33" s="1024"/>
      <c r="G33" s="1025"/>
      <c r="H33" s="1024">
        <v>1</v>
      </c>
      <c r="I33" s="921">
        <v>2</v>
      </c>
      <c r="J33" s="1024"/>
      <c r="K33" s="1024"/>
      <c r="L33" s="1024"/>
      <c r="M33" s="1024"/>
      <c r="N33" s="921"/>
      <c r="O33" s="922">
        <v>2</v>
      </c>
      <c r="P33" s="1024">
        <v>1</v>
      </c>
      <c r="Q33" s="1024">
        <v>2</v>
      </c>
      <c r="R33" s="1024"/>
      <c r="S33" s="1024"/>
      <c r="T33" s="1026">
        <v>2</v>
      </c>
    </row>
    <row r="34" spans="1:20" x14ac:dyDescent="0.25">
      <c r="A34" s="917" t="s">
        <v>950</v>
      </c>
      <c r="B34" s="1024">
        <v>1</v>
      </c>
      <c r="C34" s="1024"/>
      <c r="D34" s="1025"/>
      <c r="E34" s="1024"/>
      <c r="F34" s="1024"/>
      <c r="G34" s="1025"/>
      <c r="H34" s="1024">
        <v>1</v>
      </c>
      <c r="I34" s="921">
        <v>2</v>
      </c>
      <c r="J34" s="1024"/>
      <c r="K34" s="1024"/>
      <c r="L34" s="1024"/>
      <c r="M34" s="1024"/>
      <c r="N34" s="921"/>
      <c r="O34" s="922">
        <v>2</v>
      </c>
      <c r="P34" s="1024">
        <v>2</v>
      </c>
      <c r="Q34" s="1024">
        <v>1</v>
      </c>
      <c r="R34" s="1024"/>
      <c r="S34" s="1024"/>
      <c r="T34" s="1026">
        <v>1</v>
      </c>
    </row>
    <row r="35" spans="1:20" x14ac:dyDescent="0.25">
      <c r="A35" s="917" t="s">
        <v>951</v>
      </c>
      <c r="B35" s="1024"/>
      <c r="C35" s="1024"/>
      <c r="D35" s="1025"/>
      <c r="E35" s="1024">
        <v>1</v>
      </c>
      <c r="F35" s="1024"/>
      <c r="G35" s="1025"/>
      <c r="H35" s="1024"/>
      <c r="I35" s="921">
        <v>1</v>
      </c>
      <c r="J35" s="1024"/>
      <c r="K35" s="1024"/>
      <c r="L35" s="1024"/>
      <c r="M35" s="1024"/>
      <c r="N35" s="921"/>
      <c r="O35" s="922">
        <v>1</v>
      </c>
      <c r="P35" s="1024"/>
      <c r="Q35" s="1024">
        <v>1</v>
      </c>
      <c r="R35" s="1024"/>
      <c r="S35" s="1024"/>
      <c r="T35" s="1026">
        <v>1</v>
      </c>
    </row>
    <row r="36" spans="1:20" x14ac:dyDescent="0.25">
      <c r="A36" s="910" t="s">
        <v>115</v>
      </c>
      <c r="B36" s="1022">
        <v>24</v>
      </c>
      <c r="C36" s="1022">
        <v>7</v>
      </c>
      <c r="D36" s="1023"/>
      <c r="E36" s="1022">
        <v>26</v>
      </c>
      <c r="F36" s="1022">
        <v>7</v>
      </c>
      <c r="G36" s="1023"/>
      <c r="H36" s="1022">
        <v>35</v>
      </c>
      <c r="I36" s="914">
        <v>92</v>
      </c>
      <c r="J36" s="1022"/>
      <c r="K36" s="1022"/>
      <c r="L36" s="1022"/>
      <c r="M36" s="1022"/>
      <c r="N36" s="914"/>
      <c r="O36" s="914">
        <v>92</v>
      </c>
      <c r="P36" s="1022">
        <v>58</v>
      </c>
      <c r="Q36" s="1022">
        <v>83</v>
      </c>
      <c r="R36" s="1022">
        <v>1</v>
      </c>
      <c r="S36" s="1022">
        <v>1</v>
      </c>
      <c r="T36" s="1022">
        <v>85</v>
      </c>
    </row>
    <row r="37" spans="1:20" x14ac:dyDescent="0.25">
      <c r="A37" s="917" t="s">
        <v>952</v>
      </c>
      <c r="B37" s="1024">
        <v>2</v>
      </c>
      <c r="C37" s="1024">
        <v>1</v>
      </c>
      <c r="D37" s="1025"/>
      <c r="E37" s="1024">
        <v>5</v>
      </c>
      <c r="F37" s="1024"/>
      <c r="G37" s="1025"/>
      <c r="H37" s="1024">
        <v>5</v>
      </c>
      <c r="I37" s="921">
        <v>13</v>
      </c>
      <c r="J37" s="1024"/>
      <c r="K37" s="1024"/>
      <c r="L37" s="1024"/>
      <c r="M37" s="1024"/>
      <c r="N37" s="921"/>
      <c r="O37" s="922">
        <v>13</v>
      </c>
      <c r="P37" s="1024">
        <v>6</v>
      </c>
      <c r="Q37" s="1024">
        <v>11</v>
      </c>
      <c r="R37" s="1024"/>
      <c r="S37" s="1024"/>
      <c r="T37" s="1026">
        <v>11</v>
      </c>
    </row>
    <row r="38" spans="1:20" x14ac:dyDescent="0.25">
      <c r="A38" s="917" t="s">
        <v>953</v>
      </c>
      <c r="B38" s="1024">
        <v>10</v>
      </c>
      <c r="C38" s="1024">
        <v>6</v>
      </c>
      <c r="D38" s="1025"/>
      <c r="E38" s="1024">
        <v>13</v>
      </c>
      <c r="F38" s="1024">
        <v>3</v>
      </c>
      <c r="G38" s="1025"/>
      <c r="H38" s="1024">
        <v>24</v>
      </c>
      <c r="I38" s="921">
        <v>51</v>
      </c>
      <c r="J38" s="1024"/>
      <c r="K38" s="1024"/>
      <c r="L38" s="1024"/>
      <c r="M38" s="1024"/>
      <c r="N38" s="921"/>
      <c r="O38" s="922">
        <v>51</v>
      </c>
      <c r="P38" s="1024">
        <v>36</v>
      </c>
      <c r="Q38" s="1024">
        <v>45</v>
      </c>
      <c r="R38" s="1024"/>
      <c r="S38" s="1024">
        <v>1</v>
      </c>
      <c r="T38" s="1026">
        <v>46</v>
      </c>
    </row>
    <row r="39" spans="1:20" x14ac:dyDescent="0.25">
      <c r="A39" s="917" t="s">
        <v>954</v>
      </c>
      <c r="B39" s="1024">
        <v>2</v>
      </c>
      <c r="C39" s="1024"/>
      <c r="D39" s="1025"/>
      <c r="E39" s="1024">
        <v>1</v>
      </c>
      <c r="F39" s="1024"/>
      <c r="G39" s="1025"/>
      <c r="H39" s="1024"/>
      <c r="I39" s="921">
        <v>3</v>
      </c>
      <c r="J39" s="1024"/>
      <c r="K39" s="1024"/>
      <c r="L39" s="1024"/>
      <c r="M39" s="1024"/>
      <c r="N39" s="921"/>
      <c r="O39" s="922">
        <v>3</v>
      </c>
      <c r="P39" s="1024"/>
      <c r="Q39" s="1024">
        <v>3</v>
      </c>
      <c r="R39" s="1024"/>
      <c r="S39" s="1024"/>
      <c r="T39" s="1026">
        <v>3</v>
      </c>
    </row>
    <row r="40" spans="1:20" x14ac:dyDescent="0.25">
      <c r="A40" s="917" t="s">
        <v>955</v>
      </c>
      <c r="B40" s="1024">
        <v>3</v>
      </c>
      <c r="C40" s="1024"/>
      <c r="D40" s="1025"/>
      <c r="E40" s="1024">
        <v>1</v>
      </c>
      <c r="F40" s="1024">
        <v>1</v>
      </c>
      <c r="G40" s="1025"/>
      <c r="H40" s="1024">
        <v>1</v>
      </c>
      <c r="I40" s="921">
        <v>6</v>
      </c>
      <c r="J40" s="1024"/>
      <c r="K40" s="1024"/>
      <c r="L40" s="1024"/>
      <c r="M40" s="1024"/>
      <c r="N40" s="921"/>
      <c r="O40" s="922">
        <v>6</v>
      </c>
      <c r="P40" s="1024">
        <v>3</v>
      </c>
      <c r="Q40" s="1024">
        <v>5</v>
      </c>
      <c r="R40" s="1024">
        <v>1</v>
      </c>
      <c r="S40" s="1024"/>
      <c r="T40" s="1026">
        <v>6</v>
      </c>
    </row>
    <row r="41" spans="1:20" x14ac:dyDescent="0.25">
      <c r="A41" s="917" t="s">
        <v>956</v>
      </c>
      <c r="B41" s="1024"/>
      <c r="C41" s="1024"/>
      <c r="D41" s="1025"/>
      <c r="E41" s="1024"/>
      <c r="F41" s="1024"/>
      <c r="G41" s="1025"/>
      <c r="H41" s="1024"/>
      <c r="I41" s="921"/>
      <c r="J41" s="1024"/>
      <c r="K41" s="1024"/>
      <c r="L41" s="1024"/>
      <c r="M41" s="1024"/>
      <c r="N41" s="921"/>
      <c r="O41" s="922"/>
      <c r="P41" s="1024"/>
      <c r="Q41" s="1024"/>
      <c r="R41" s="1024"/>
      <c r="S41" s="1024"/>
      <c r="T41" s="1026"/>
    </row>
    <row r="42" spans="1:20" x14ac:dyDescent="0.25">
      <c r="A42" s="917" t="s">
        <v>957</v>
      </c>
      <c r="B42" s="1024">
        <v>3</v>
      </c>
      <c r="C42" s="1024"/>
      <c r="D42" s="1025"/>
      <c r="E42" s="1024"/>
      <c r="F42" s="1024">
        <v>2</v>
      </c>
      <c r="G42" s="1025"/>
      <c r="H42" s="1024">
        <v>1</v>
      </c>
      <c r="I42" s="921">
        <v>5</v>
      </c>
      <c r="J42" s="1024"/>
      <c r="K42" s="1024"/>
      <c r="L42" s="1024"/>
      <c r="M42" s="1024"/>
      <c r="N42" s="921"/>
      <c r="O42" s="922">
        <v>5</v>
      </c>
      <c r="P42" s="1024">
        <v>2</v>
      </c>
      <c r="Q42" s="1024">
        <v>5</v>
      </c>
      <c r="R42" s="1024"/>
      <c r="S42" s="1024"/>
      <c r="T42" s="1026">
        <v>5</v>
      </c>
    </row>
    <row r="43" spans="1:20" x14ac:dyDescent="0.25">
      <c r="A43" s="917" t="s">
        <v>958</v>
      </c>
      <c r="B43" s="1024">
        <v>1</v>
      </c>
      <c r="C43" s="1024"/>
      <c r="D43" s="1025"/>
      <c r="E43" s="1024">
        <v>2</v>
      </c>
      <c r="F43" s="1024"/>
      <c r="G43" s="1025"/>
      <c r="H43" s="1024"/>
      <c r="I43" s="921">
        <v>3</v>
      </c>
      <c r="J43" s="1024"/>
      <c r="K43" s="1024"/>
      <c r="L43" s="1024"/>
      <c r="M43" s="1024"/>
      <c r="N43" s="921"/>
      <c r="O43" s="922">
        <v>3</v>
      </c>
      <c r="P43" s="1024">
        <v>1</v>
      </c>
      <c r="Q43" s="1024">
        <v>3</v>
      </c>
      <c r="R43" s="1024"/>
      <c r="S43" s="1024"/>
      <c r="T43" s="1026">
        <v>3</v>
      </c>
    </row>
    <row r="44" spans="1:20" x14ac:dyDescent="0.25">
      <c r="A44" s="917" t="s">
        <v>959</v>
      </c>
      <c r="B44" s="1024"/>
      <c r="C44" s="1024"/>
      <c r="D44" s="1025"/>
      <c r="E44" s="1024"/>
      <c r="F44" s="1024"/>
      <c r="G44" s="1025"/>
      <c r="H44" s="1024"/>
      <c r="I44" s="921"/>
      <c r="J44" s="1024"/>
      <c r="K44" s="1024"/>
      <c r="L44" s="1024"/>
      <c r="M44" s="1024"/>
      <c r="N44" s="921"/>
      <c r="O44" s="922"/>
      <c r="P44" s="1024"/>
      <c r="Q44" s="1024"/>
      <c r="R44" s="1024"/>
      <c r="S44" s="1024"/>
      <c r="T44" s="1026"/>
    </row>
    <row r="45" spans="1:20" x14ac:dyDescent="0.25">
      <c r="A45" s="917" t="s">
        <v>960</v>
      </c>
      <c r="B45" s="1024">
        <v>3</v>
      </c>
      <c r="C45" s="1024"/>
      <c r="D45" s="1025"/>
      <c r="E45" s="1024">
        <v>4</v>
      </c>
      <c r="F45" s="1024">
        <v>1</v>
      </c>
      <c r="G45" s="1025"/>
      <c r="H45" s="1024">
        <v>4</v>
      </c>
      <c r="I45" s="921">
        <v>11</v>
      </c>
      <c r="J45" s="1024"/>
      <c r="K45" s="1024"/>
      <c r="L45" s="1024"/>
      <c r="M45" s="1024"/>
      <c r="N45" s="921"/>
      <c r="O45" s="922">
        <v>11</v>
      </c>
      <c r="P45" s="1024">
        <v>10</v>
      </c>
      <c r="Q45" s="1024">
        <v>11</v>
      </c>
      <c r="R45" s="1024"/>
      <c r="S45" s="1024"/>
      <c r="T45" s="1026">
        <v>11</v>
      </c>
    </row>
    <row r="46" spans="1:20" x14ac:dyDescent="0.25">
      <c r="A46" s="926" t="s">
        <v>961</v>
      </c>
      <c r="B46" s="1024">
        <v>1</v>
      </c>
      <c r="C46" s="1024"/>
      <c r="D46" s="1025"/>
      <c r="E46" s="1024"/>
      <c r="F46" s="1024">
        <v>1</v>
      </c>
      <c r="G46" s="1025"/>
      <c r="H46" s="1024">
        <v>1</v>
      </c>
      <c r="I46" s="921">
        <v>3</v>
      </c>
      <c r="J46" s="1024"/>
      <c r="K46" s="1024"/>
      <c r="L46" s="1024"/>
      <c r="M46" s="1024"/>
      <c r="N46" s="921"/>
      <c r="O46" s="922">
        <v>3</v>
      </c>
      <c r="P46" s="1024">
        <v>2</v>
      </c>
      <c r="Q46" s="1024">
        <v>3</v>
      </c>
      <c r="R46" s="1024"/>
      <c r="S46" s="1024"/>
      <c r="T46" s="1026">
        <v>3</v>
      </c>
    </row>
    <row r="47" spans="1:20" x14ac:dyDescent="0.25">
      <c r="A47" s="927" t="s">
        <v>962</v>
      </c>
      <c r="B47" s="1022"/>
      <c r="C47" s="1022"/>
      <c r="D47" s="1023"/>
      <c r="E47" s="1022"/>
      <c r="F47" s="1022"/>
      <c r="G47" s="1023"/>
      <c r="H47" s="1022"/>
      <c r="I47" s="914"/>
      <c r="J47" s="1022"/>
      <c r="K47" s="1022"/>
      <c r="L47" s="1022"/>
      <c r="M47" s="1022"/>
      <c r="N47" s="914"/>
      <c r="O47" s="914"/>
      <c r="P47" s="1022"/>
      <c r="Q47" s="1022"/>
      <c r="R47" s="1022"/>
      <c r="S47" s="1022"/>
      <c r="T47" s="1022"/>
    </row>
    <row r="48" spans="1:20" s="948" customFormat="1" ht="15.75" thickBot="1" x14ac:dyDescent="0.3">
      <c r="A48" s="928" t="s">
        <v>116</v>
      </c>
      <c r="B48" s="1027">
        <v>152</v>
      </c>
      <c r="C48" s="1027">
        <v>71</v>
      </c>
      <c r="D48" s="1028">
        <v>2</v>
      </c>
      <c r="E48" s="1027">
        <v>226</v>
      </c>
      <c r="F48" s="1027">
        <v>44</v>
      </c>
      <c r="G48" s="1028">
        <v>2</v>
      </c>
      <c r="H48" s="1027">
        <v>195</v>
      </c>
      <c r="I48" s="1027">
        <v>637</v>
      </c>
      <c r="J48" s="1027">
        <v>1</v>
      </c>
      <c r="K48" s="1027"/>
      <c r="L48" s="1027"/>
      <c r="M48" s="1027"/>
      <c r="N48" s="1027">
        <v>1</v>
      </c>
      <c r="O48" s="1027">
        <v>638</v>
      </c>
      <c r="P48" s="1027">
        <v>372</v>
      </c>
      <c r="Q48" s="1027">
        <v>548</v>
      </c>
      <c r="R48" s="1027">
        <v>16</v>
      </c>
      <c r="S48" s="1027">
        <v>6</v>
      </c>
      <c r="T48" s="1027">
        <v>570</v>
      </c>
    </row>
    <row r="49" spans="1:20" ht="15.75" thickTop="1" x14ac:dyDescent="0.25">
      <c r="A49" s="935" t="s">
        <v>963</v>
      </c>
      <c r="B49" s="1029"/>
      <c r="C49" s="1029"/>
      <c r="D49" s="1030"/>
      <c r="E49" s="1029"/>
      <c r="F49" s="1029">
        <v>1</v>
      </c>
      <c r="G49" s="1030"/>
      <c r="H49" s="1029"/>
      <c r="I49" s="1031">
        <v>1</v>
      </c>
      <c r="J49" s="1029"/>
      <c r="K49" s="1029"/>
      <c r="L49" s="1029"/>
      <c r="M49" s="1029"/>
      <c r="N49" s="1031"/>
      <c r="O49" s="1032">
        <v>1</v>
      </c>
      <c r="P49" s="1029">
        <v>1</v>
      </c>
      <c r="Q49" s="1029"/>
      <c r="R49" s="1029"/>
      <c r="S49" s="1029">
        <v>1</v>
      </c>
      <c r="T49" s="1033">
        <v>1</v>
      </c>
    </row>
    <row r="50" spans="1:20" x14ac:dyDescent="0.25">
      <c r="A50" s="938" t="s">
        <v>964</v>
      </c>
      <c r="B50" s="1024"/>
      <c r="C50" s="1024"/>
      <c r="D50" s="1025"/>
      <c r="E50" s="1024"/>
      <c r="F50" s="1024"/>
      <c r="G50" s="1025"/>
      <c r="H50" s="1024"/>
      <c r="I50" s="936"/>
      <c r="J50" s="1024"/>
      <c r="K50" s="1024"/>
      <c r="L50" s="1024"/>
      <c r="M50" s="1024"/>
      <c r="N50" s="936"/>
      <c r="O50" s="937"/>
      <c r="P50" s="1024"/>
      <c r="Q50" s="1024"/>
      <c r="R50" s="1024"/>
      <c r="S50" s="1024"/>
      <c r="T50" s="1034"/>
    </row>
    <row r="51" spans="1:20" x14ac:dyDescent="0.25">
      <c r="A51" s="938" t="s">
        <v>965</v>
      </c>
      <c r="B51" s="1024">
        <v>1</v>
      </c>
      <c r="C51" s="1024"/>
      <c r="D51" s="1025"/>
      <c r="E51" s="1024"/>
      <c r="F51" s="1024"/>
      <c r="G51" s="1025"/>
      <c r="H51" s="1024"/>
      <c r="I51" s="936">
        <v>1</v>
      </c>
      <c r="J51" s="1024"/>
      <c r="K51" s="1024"/>
      <c r="L51" s="1024"/>
      <c r="M51" s="1024"/>
      <c r="N51" s="936"/>
      <c r="O51" s="937">
        <v>1</v>
      </c>
      <c r="P51" s="1024">
        <v>1</v>
      </c>
      <c r="Q51" s="1024">
        <v>1</v>
      </c>
      <c r="R51" s="1024"/>
      <c r="S51" s="1024"/>
      <c r="T51" s="1034">
        <v>1</v>
      </c>
    </row>
    <row r="52" spans="1:20" x14ac:dyDescent="0.25">
      <c r="A52" s="938" t="s">
        <v>966</v>
      </c>
      <c r="B52" s="1024"/>
      <c r="C52" s="1024"/>
      <c r="D52" s="1025"/>
      <c r="E52" s="1024"/>
      <c r="F52" s="1024"/>
      <c r="G52" s="1025"/>
      <c r="H52" s="1024">
        <v>1</v>
      </c>
      <c r="I52" s="936">
        <v>1</v>
      </c>
      <c r="J52" s="1024"/>
      <c r="K52" s="1024"/>
      <c r="L52" s="1024"/>
      <c r="M52" s="1024"/>
      <c r="N52" s="936"/>
      <c r="O52" s="937">
        <v>1</v>
      </c>
      <c r="P52" s="1024">
        <v>1</v>
      </c>
      <c r="Q52" s="1024">
        <v>1</v>
      </c>
      <c r="R52" s="1024"/>
      <c r="S52" s="1024"/>
      <c r="T52" s="1034">
        <v>1</v>
      </c>
    </row>
    <row r="53" spans="1:20" x14ac:dyDescent="0.25">
      <c r="A53" s="938" t="s">
        <v>967</v>
      </c>
      <c r="B53" s="1024"/>
      <c r="C53" s="1024"/>
      <c r="D53" s="1025"/>
      <c r="E53" s="1024"/>
      <c r="F53" s="1024"/>
      <c r="G53" s="1025"/>
      <c r="H53" s="1024"/>
      <c r="I53" s="936"/>
      <c r="J53" s="1024"/>
      <c r="K53" s="1024"/>
      <c r="L53" s="1024"/>
      <c r="M53" s="1024"/>
      <c r="N53" s="936"/>
      <c r="O53" s="937"/>
      <c r="P53" s="1024"/>
      <c r="Q53" s="1024"/>
      <c r="R53" s="1024"/>
      <c r="S53" s="1024"/>
      <c r="T53" s="1034"/>
    </row>
    <row r="54" spans="1:20" x14ac:dyDescent="0.25">
      <c r="A54" s="938" t="s">
        <v>968</v>
      </c>
      <c r="B54" s="1024"/>
      <c r="C54" s="1024"/>
      <c r="D54" s="1025"/>
      <c r="E54" s="1024"/>
      <c r="F54" s="1024"/>
      <c r="G54" s="1025"/>
      <c r="H54" s="1024"/>
      <c r="I54" s="936"/>
      <c r="J54" s="1024"/>
      <c r="K54" s="1024"/>
      <c r="L54" s="1024"/>
      <c r="M54" s="1024"/>
      <c r="N54" s="936"/>
      <c r="O54" s="937"/>
      <c r="P54" s="1024"/>
      <c r="Q54" s="1024"/>
      <c r="R54" s="1024"/>
      <c r="S54" s="1024"/>
      <c r="T54" s="1034"/>
    </row>
    <row r="55" spans="1:20" x14ac:dyDescent="0.25">
      <c r="A55" s="938" t="s">
        <v>969</v>
      </c>
      <c r="B55" s="1024"/>
      <c r="C55" s="1024"/>
      <c r="D55" s="1025"/>
      <c r="E55" s="1024"/>
      <c r="F55" s="1024"/>
      <c r="G55" s="1025"/>
      <c r="H55" s="1024"/>
      <c r="I55" s="936"/>
      <c r="J55" s="1024"/>
      <c r="K55" s="1024"/>
      <c r="L55" s="1024"/>
      <c r="M55" s="1024"/>
      <c r="N55" s="936"/>
      <c r="O55" s="937"/>
      <c r="P55" s="1024"/>
      <c r="Q55" s="1024"/>
      <c r="R55" s="1024"/>
      <c r="S55" s="1024"/>
      <c r="T55" s="1034"/>
    </row>
    <row r="56" spans="1:20" x14ac:dyDescent="0.25">
      <c r="A56" s="938" t="s">
        <v>970</v>
      </c>
      <c r="B56" s="1024">
        <v>1</v>
      </c>
      <c r="C56" s="1024"/>
      <c r="D56" s="1025"/>
      <c r="E56" s="1024"/>
      <c r="F56" s="1024"/>
      <c r="G56" s="1025"/>
      <c r="H56" s="1024"/>
      <c r="I56" s="936">
        <v>1</v>
      </c>
      <c r="J56" s="1024"/>
      <c r="K56" s="1024"/>
      <c r="L56" s="1024"/>
      <c r="M56" s="1024"/>
      <c r="N56" s="936"/>
      <c r="O56" s="937">
        <v>1</v>
      </c>
      <c r="P56" s="1024">
        <v>1</v>
      </c>
      <c r="Q56" s="1024">
        <v>1</v>
      </c>
      <c r="R56" s="1024"/>
      <c r="S56" s="1024"/>
      <c r="T56" s="1034">
        <v>1</v>
      </c>
    </row>
    <row r="57" spans="1:20" x14ac:dyDescent="0.25">
      <c r="A57" s="938" t="s">
        <v>971</v>
      </c>
      <c r="B57" s="1024"/>
      <c r="C57" s="1024"/>
      <c r="D57" s="1025"/>
      <c r="E57" s="1024"/>
      <c r="F57" s="1024"/>
      <c r="G57" s="1025"/>
      <c r="H57" s="1024"/>
      <c r="I57" s="936"/>
      <c r="J57" s="1024"/>
      <c r="K57" s="1024"/>
      <c r="L57" s="1024"/>
      <c r="M57" s="1024"/>
      <c r="N57" s="936"/>
      <c r="O57" s="937"/>
      <c r="P57" s="1024"/>
      <c r="Q57" s="1024"/>
      <c r="R57" s="1024"/>
      <c r="S57" s="1024"/>
      <c r="T57" s="1034"/>
    </row>
    <row r="58" spans="1:20" x14ac:dyDescent="0.25">
      <c r="A58" s="938" t="s">
        <v>972</v>
      </c>
      <c r="B58" s="1024">
        <v>1</v>
      </c>
      <c r="C58" s="1024">
        <v>2</v>
      </c>
      <c r="D58" s="1025"/>
      <c r="E58" s="1024">
        <v>1</v>
      </c>
      <c r="F58" s="1024"/>
      <c r="G58" s="1025"/>
      <c r="H58" s="1024"/>
      <c r="I58" s="936">
        <v>3</v>
      </c>
      <c r="J58" s="1024"/>
      <c r="K58" s="1024"/>
      <c r="L58" s="1024"/>
      <c r="M58" s="1024"/>
      <c r="N58" s="936"/>
      <c r="O58" s="937">
        <v>3</v>
      </c>
      <c r="P58" s="1024"/>
      <c r="Q58" s="1024">
        <v>2</v>
      </c>
      <c r="R58" s="1024">
        <v>1</v>
      </c>
      <c r="S58" s="1024"/>
      <c r="T58" s="1034">
        <v>3</v>
      </c>
    </row>
    <row r="59" spans="1:20" x14ac:dyDescent="0.25">
      <c r="A59" s="938" t="s">
        <v>973</v>
      </c>
      <c r="B59" s="1024"/>
      <c r="C59" s="1024"/>
      <c r="D59" s="1025"/>
      <c r="E59" s="1024"/>
      <c r="F59" s="1024"/>
      <c r="G59" s="1025"/>
      <c r="H59" s="1024"/>
      <c r="I59" s="936"/>
      <c r="J59" s="1024"/>
      <c r="K59" s="1024"/>
      <c r="L59" s="1024"/>
      <c r="M59" s="1024"/>
      <c r="N59" s="936"/>
      <c r="O59" s="937"/>
      <c r="P59" s="1024"/>
      <c r="Q59" s="1024"/>
      <c r="R59" s="1024"/>
      <c r="S59" s="1024"/>
      <c r="T59" s="1034"/>
    </row>
    <row r="60" spans="1:20" x14ac:dyDescent="0.25">
      <c r="A60" s="938" t="s">
        <v>974</v>
      </c>
      <c r="B60" s="1024"/>
      <c r="C60" s="1024"/>
      <c r="D60" s="1025"/>
      <c r="E60" s="1024">
        <v>1</v>
      </c>
      <c r="F60" s="1024"/>
      <c r="G60" s="1025"/>
      <c r="H60" s="1024"/>
      <c r="I60" s="936">
        <v>1</v>
      </c>
      <c r="J60" s="1024"/>
      <c r="K60" s="1024"/>
      <c r="L60" s="1024"/>
      <c r="M60" s="1024"/>
      <c r="N60" s="936"/>
      <c r="O60" s="937">
        <v>1</v>
      </c>
      <c r="P60" s="1024"/>
      <c r="Q60" s="1024">
        <v>1</v>
      </c>
      <c r="R60" s="1024"/>
      <c r="S60" s="1024"/>
      <c r="T60" s="1034">
        <v>1</v>
      </c>
    </row>
    <row r="61" spans="1:20" x14ac:dyDescent="0.25">
      <c r="A61" s="938" t="s">
        <v>975</v>
      </c>
      <c r="B61" s="1024"/>
      <c r="C61" s="1024"/>
      <c r="D61" s="1025"/>
      <c r="E61" s="1024"/>
      <c r="F61" s="1024"/>
      <c r="G61" s="1025"/>
      <c r="H61" s="1024"/>
      <c r="I61" s="936"/>
      <c r="J61" s="1024"/>
      <c r="K61" s="1024"/>
      <c r="L61" s="1024"/>
      <c r="M61" s="1024"/>
      <c r="N61" s="936"/>
      <c r="O61" s="937"/>
      <c r="P61" s="1024"/>
      <c r="Q61" s="1024"/>
      <c r="R61" s="1024"/>
      <c r="S61" s="1024"/>
      <c r="T61" s="1034"/>
    </row>
    <row r="62" spans="1:20" x14ac:dyDescent="0.25">
      <c r="A62" s="938" t="s">
        <v>976</v>
      </c>
      <c r="B62" s="1024"/>
      <c r="C62" s="1024"/>
      <c r="D62" s="1025"/>
      <c r="E62" s="1024">
        <v>1</v>
      </c>
      <c r="F62" s="1024"/>
      <c r="G62" s="1025"/>
      <c r="H62" s="1024"/>
      <c r="I62" s="936">
        <v>1</v>
      </c>
      <c r="J62" s="1024"/>
      <c r="K62" s="1024"/>
      <c r="L62" s="1024"/>
      <c r="M62" s="1024"/>
      <c r="N62" s="936"/>
      <c r="O62" s="937">
        <v>1</v>
      </c>
      <c r="P62" s="1024"/>
      <c r="Q62" s="1024"/>
      <c r="R62" s="1024">
        <v>1</v>
      </c>
      <c r="S62" s="1024"/>
      <c r="T62" s="1034">
        <v>1</v>
      </c>
    </row>
    <row r="63" spans="1:20" x14ac:dyDescent="0.25">
      <c r="A63" s="938" t="s">
        <v>977</v>
      </c>
      <c r="B63" s="1024">
        <v>1</v>
      </c>
      <c r="C63" s="1024"/>
      <c r="D63" s="1025"/>
      <c r="E63" s="1024">
        <v>2</v>
      </c>
      <c r="F63" s="1024"/>
      <c r="G63" s="1025"/>
      <c r="H63" s="1024"/>
      <c r="I63" s="936">
        <v>3</v>
      </c>
      <c r="J63" s="1024"/>
      <c r="K63" s="1024"/>
      <c r="L63" s="1024"/>
      <c r="M63" s="1024"/>
      <c r="N63" s="936"/>
      <c r="O63" s="937">
        <v>3</v>
      </c>
      <c r="P63" s="1024"/>
      <c r="Q63" s="1024">
        <v>2</v>
      </c>
      <c r="R63" s="1024"/>
      <c r="S63" s="1024"/>
      <c r="T63" s="1034">
        <v>2</v>
      </c>
    </row>
    <row r="64" spans="1:20" x14ac:dyDescent="0.25">
      <c r="A64" s="910" t="s">
        <v>136</v>
      </c>
      <c r="B64" s="1022">
        <v>3</v>
      </c>
      <c r="C64" s="1022"/>
      <c r="D64" s="1023"/>
      <c r="E64" s="1022"/>
      <c r="F64" s="1022"/>
      <c r="G64" s="1023"/>
      <c r="H64" s="1022"/>
      <c r="I64" s="914">
        <v>3</v>
      </c>
      <c r="J64" s="1022"/>
      <c r="K64" s="1022"/>
      <c r="L64" s="1022"/>
      <c r="M64" s="1022"/>
      <c r="N64" s="914"/>
      <c r="O64" s="914">
        <v>3</v>
      </c>
      <c r="P64" s="1022">
        <v>2</v>
      </c>
      <c r="Q64" s="1022">
        <v>3</v>
      </c>
      <c r="R64" s="1022"/>
      <c r="S64" s="1022"/>
      <c r="T64" s="1022">
        <v>3</v>
      </c>
    </row>
    <row r="65" spans="1:20" x14ac:dyDescent="0.25">
      <c r="A65" s="939" t="s">
        <v>978</v>
      </c>
      <c r="B65" s="1024"/>
      <c r="C65" s="1024"/>
      <c r="D65" s="1025"/>
      <c r="E65" s="1024"/>
      <c r="F65" s="1024"/>
      <c r="G65" s="1025"/>
      <c r="H65" s="1024"/>
      <c r="I65" s="936"/>
      <c r="J65" s="1024"/>
      <c r="K65" s="1024"/>
      <c r="L65" s="1024"/>
      <c r="M65" s="1024"/>
      <c r="N65" s="936"/>
      <c r="O65" s="937"/>
      <c r="P65" s="1024"/>
      <c r="Q65" s="1024"/>
      <c r="R65" s="1024"/>
      <c r="S65" s="1024"/>
      <c r="T65" s="1034"/>
    </row>
    <row r="66" spans="1:20" x14ac:dyDescent="0.25">
      <c r="A66" s="939" t="s">
        <v>979</v>
      </c>
      <c r="B66" s="1024"/>
      <c r="C66" s="1024"/>
      <c r="D66" s="1025"/>
      <c r="E66" s="1024"/>
      <c r="F66" s="1024"/>
      <c r="G66" s="1025"/>
      <c r="H66" s="1024"/>
      <c r="I66" s="936"/>
      <c r="J66" s="1024"/>
      <c r="K66" s="1024"/>
      <c r="L66" s="1024"/>
      <c r="M66" s="1024"/>
      <c r="N66" s="936"/>
      <c r="O66" s="937"/>
      <c r="P66" s="1024"/>
      <c r="Q66" s="1024"/>
      <c r="R66" s="1024"/>
      <c r="S66" s="1024"/>
      <c r="T66" s="1034"/>
    </row>
    <row r="67" spans="1:20" x14ac:dyDescent="0.25">
      <c r="A67" s="939" t="s">
        <v>980</v>
      </c>
      <c r="B67" s="1024"/>
      <c r="C67" s="1024"/>
      <c r="D67" s="1025"/>
      <c r="E67" s="1024"/>
      <c r="F67" s="1024"/>
      <c r="G67" s="1025"/>
      <c r="H67" s="1024"/>
      <c r="I67" s="936"/>
      <c r="J67" s="1024"/>
      <c r="K67" s="1024"/>
      <c r="L67" s="1024"/>
      <c r="M67" s="1024"/>
      <c r="N67" s="936"/>
      <c r="O67" s="937"/>
      <c r="P67" s="1024"/>
      <c r="Q67" s="1024"/>
      <c r="R67" s="1024"/>
      <c r="S67" s="1024"/>
      <c r="T67" s="1034"/>
    </row>
    <row r="68" spans="1:20" x14ac:dyDescent="0.25">
      <c r="A68" s="939" t="s">
        <v>981</v>
      </c>
      <c r="B68" s="1024"/>
      <c r="C68" s="1024"/>
      <c r="D68" s="1025"/>
      <c r="E68" s="1024"/>
      <c r="F68" s="1024"/>
      <c r="G68" s="1025"/>
      <c r="H68" s="1024"/>
      <c r="I68" s="936"/>
      <c r="J68" s="1024"/>
      <c r="K68" s="1024"/>
      <c r="L68" s="1024"/>
      <c r="M68" s="1024"/>
      <c r="N68" s="936"/>
      <c r="O68" s="937"/>
      <c r="P68" s="1024"/>
      <c r="Q68" s="1024"/>
      <c r="R68" s="1024"/>
      <c r="S68" s="1024"/>
      <c r="T68" s="1034"/>
    </row>
    <row r="69" spans="1:20" x14ac:dyDescent="0.25">
      <c r="A69" s="939" t="s">
        <v>982</v>
      </c>
      <c r="B69" s="1024"/>
      <c r="C69" s="1024"/>
      <c r="D69" s="1025"/>
      <c r="E69" s="1024"/>
      <c r="F69" s="1024"/>
      <c r="G69" s="1025"/>
      <c r="H69" s="1024"/>
      <c r="I69" s="936"/>
      <c r="J69" s="1024"/>
      <c r="K69" s="1024"/>
      <c r="L69" s="1024"/>
      <c r="M69" s="1024"/>
      <c r="N69" s="936"/>
      <c r="O69" s="937"/>
      <c r="P69" s="1024"/>
      <c r="Q69" s="1024"/>
      <c r="R69" s="1024"/>
      <c r="S69" s="1024"/>
      <c r="T69" s="1034"/>
    </row>
    <row r="70" spans="1:20" x14ac:dyDescent="0.25">
      <c r="A70" s="939" t="s">
        <v>983</v>
      </c>
      <c r="B70" s="1024"/>
      <c r="C70" s="1024"/>
      <c r="D70" s="1025"/>
      <c r="E70" s="1024"/>
      <c r="F70" s="1024"/>
      <c r="G70" s="1025"/>
      <c r="H70" s="1024"/>
      <c r="I70" s="936"/>
      <c r="J70" s="1024"/>
      <c r="K70" s="1024"/>
      <c r="L70" s="1024"/>
      <c r="M70" s="1024"/>
      <c r="N70" s="936"/>
      <c r="O70" s="937"/>
      <c r="P70" s="1024"/>
      <c r="Q70" s="1024"/>
      <c r="R70" s="1024"/>
      <c r="S70" s="1024"/>
      <c r="T70" s="1034"/>
    </row>
    <row r="71" spans="1:20" x14ac:dyDescent="0.25">
      <c r="A71" s="939" t="s">
        <v>984</v>
      </c>
      <c r="B71" s="1024"/>
      <c r="C71" s="1024"/>
      <c r="D71" s="1025"/>
      <c r="E71" s="1024"/>
      <c r="F71" s="1024"/>
      <c r="G71" s="1025"/>
      <c r="H71" s="1024"/>
      <c r="I71" s="936"/>
      <c r="J71" s="1024"/>
      <c r="K71" s="1024"/>
      <c r="L71" s="1024"/>
      <c r="M71" s="1024"/>
      <c r="N71" s="936"/>
      <c r="O71" s="937"/>
      <c r="P71" s="1024"/>
      <c r="Q71" s="1024"/>
      <c r="R71" s="1024"/>
      <c r="S71" s="1024"/>
      <c r="T71" s="1034"/>
    </row>
    <row r="72" spans="1:20" x14ac:dyDescent="0.25">
      <c r="A72" s="939" t="s">
        <v>985</v>
      </c>
      <c r="B72" s="1024"/>
      <c r="C72" s="1024"/>
      <c r="D72" s="1025"/>
      <c r="E72" s="1024"/>
      <c r="F72" s="1024"/>
      <c r="G72" s="1025"/>
      <c r="H72" s="1024"/>
      <c r="I72" s="936"/>
      <c r="J72" s="1024"/>
      <c r="K72" s="1024"/>
      <c r="L72" s="1024"/>
      <c r="M72" s="1024"/>
      <c r="N72" s="936"/>
      <c r="O72" s="937"/>
      <c r="P72" s="1024"/>
      <c r="Q72" s="1024"/>
      <c r="R72" s="1024"/>
      <c r="S72" s="1024"/>
      <c r="T72" s="1034"/>
    </row>
    <row r="73" spans="1:20" x14ac:dyDescent="0.25">
      <c r="A73" s="939" t="s">
        <v>986</v>
      </c>
      <c r="B73" s="1024"/>
      <c r="C73" s="1024"/>
      <c r="D73" s="1025"/>
      <c r="E73" s="1024"/>
      <c r="F73" s="1024"/>
      <c r="G73" s="1025"/>
      <c r="H73" s="1024"/>
      <c r="I73" s="936"/>
      <c r="J73" s="1024"/>
      <c r="K73" s="1024"/>
      <c r="L73" s="1024"/>
      <c r="M73" s="1024"/>
      <c r="N73" s="936"/>
      <c r="O73" s="937"/>
      <c r="P73" s="1024"/>
      <c r="Q73" s="1024"/>
      <c r="R73" s="1024"/>
      <c r="S73" s="1024"/>
      <c r="T73" s="1034"/>
    </row>
    <row r="74" spans="1:20" x14ac:dyDescent="0.25">
      <c r="A74" s="939" t="s">
        <v>987</v>
      </c>
      <c r="B74" s="1024"/>
      <c r="C74" s="1024"/>
      <c r="D74" s="1025"/>
      <c r="E74" s="1024"/>
      <c r="F74" s="1024"/>
      <c r="G74" s="1025"/>
      <c r="H74" s="1024"/>
      <c r="I74" s="936"/>
      <c r="J74" s="1024"/>
      <c r="K74" s="1024"/>
      <c r="L74" s="1024"/>
      <c r="M74" s="1024"/>
      <c r="N74" s="936"/>
      <c r="O74" s="937"/>
      <c r="P74" s="1024"/>
      <c r="Q74" s="1024"/>
      <c r="R74" s="1024"/>
      <c r="S74" s="1024"/>
      <c r="T74" s="1034"/>
    </row>
    <row r="75" spans="1:20" x14ac:dyDescent="0.25">
      <c r="A75" s="939" t="s">
        <v>988</v>
      </c>
      <c r="B75" s="1024"/>
      <c r="C75" s="1024"/>
      <c r="D75" s="1025"/>
      <c r="E75" s="1024"/>
      <c r="F75" s="1024"/>
      <c r="G75" s="1025"/>
      <c r="H75" s="1024"/>
      <c r="I75" s="936"/>
      <c r="J75" s="1024"/>
      <c r="K75" s="1024"/>
      <c r="L75" s="1024"/>
      <c r="M75" s="1024"/>
      <c r="N75" s="936"/>
      <c r="O75" s="937"/>
      <c r="P75" s="1024"/>
      <c r="Q75" s="1024"/>
      <c r="R75" s="1024"/>
      <c r="S75" s="1024"/>
      <c r="T75" s="1034"/>
    </row>
    <row r="76" spans="1:20" x14ac:dyDescent="0.25">
      <c r="A76" s="939" t="s">
        <v>989</v>
      </c>
      <c r="B76" s="1024">
        <v>1</v>
      </c>
      <c r="C76" s="1024"/>
      <c r="D76" s="1025"/>
      <c r="E76" s="1024"/>
      <c r="F76" s="1024"/>
      <c r="G76" s="1025"/>
      <c r="H76" s="1024"/>
      <c r="I76" s="936">
        <v>1</v>
      </c>
      <c r="J76" s="1024"/>
      <c r="K76" s="1024"/>
      <c r="L76" s="1024"/>
      <c r="M76" s="1024"/>
      <c r="N76" s="936"/>
      <c r="O76" s="937">
        <v>1</v>
      </c>
      <c r="P76" s="1024">
        <v>1</v>
      </c>
      <c r="Q76" s="1024">
        <v>1</v>
      </c>
      <c r="R76" s="1024"/>
      <c r="S76" s="1024"/>
      <c r="T76" s="1034">
        <v>1</v>
      </c>
    </row>
    <row r="77" spans="1:20" x14ac:dyDescent="0.25">
      <c r="A77" s="939" t="s">
        <v>990</v>
      </c>
      <c r="B77" s="1024"/>
      <c r="C77" s="1024"/>
      <c r="D77" s="1025"/>
      <c r="E77" s="1024"/>
      <c r="F77" s="1024"/>
      <c r="G77" s="1025"/>
      <c r="H77" s="1024"/>
      <c r="I77" s="936"/>
      <c r="J77" s="1024"/>
      <c r="K77" s="1024"/>
      <c r="L77" s="1024"/>
      <c r="M77" s="1024"/>
      <c r="N77" s="936"/>
      <c r="O77" s="937"/>
      <c r="P77" s="1024"/>
      <c r="Q77" s="1024"/>
      <c r="R77" s="1024"/>
      <c r="S77" s="1024"/>
      <c r="T77" s="1034"/>
    </row>
    <row r="78" spans="1:20" x14ac:dyDescent="0.25">
      <c r="A78" s="939" t="s">
        <v>991</v>
      </c>
      <c r="B78" s="1024"/>
      <c r="C78" s="1024"/>
      <c r="D78" s="1025"/>
      <c r="E78" s="1024"/>
      <c r="F78" s="1024"/>
      <c r="G78" s="1025"/>
      <c r="H78" s="1024"/>
      <c r="I78" s="936"/>
      <c r="J78" s="1024"/>
      <c r="K78" s="1024"/>
      <c r="L78" s="1024"/>
      <c r="M78" s="1024"/>
      <c r="N78" s="936"/>
      <c r="O78" s="937"/>
      <c r="P78" s="1024"/>
      <c r="Q78" s="1024"/>
      <c r="R78" s="1024"/>
      <c r="S78" s="1024"/>
      <c r="T78" s="1034"/>
    </row>
    <row r="79" spans="1:20" x14ac:dyDescent="0.25">
      <c r="A79" s="939" t="s">
        <v>992</v>
      </c>
      <c r="B79" s="1024"/>
      <c r="C79" s="1024"/>
      <c r="D79" s="1025"/>
      <c r="E79" s="1024"/>
      <c r="F79" s="1024"/>
      <c r="G79" s="1025"/>
      <c r="H79" s="1024"/>
      <c r="I79" s="936"/>
      <c r="J79" s="1024"/>
      <c r="K79" s="1024"/>
      <c r="L79" s="1024"/>
      <c r="M79" s="1024"/>
      <c r="N79" s="936"/>
      <c r="O79" s="937"/>
      <c r="P79" s="1024"/>
      <c r="Q79" s="1024"/>
      <c r="R79" s="1024"/>
      <c r="S79" s="1024"/>
      <c r="T79" s="1034"/>
    </row>
    <row r="80" spans="1:20" x14ac:dyDescent="0.25">
      <c r="A80" s="939" t="s">
        <v>993</v>
      </c>
      <c r="B80" s="1024"/>
      <c r="C80" s="1024"/>
      <c r="D80" s="1025"/>
      <c r="E80" s="1024"/>
      <c r="F80" s="1024"/>
      <c r="G80" s="1025"/>
      <c r="H80" s="1024"/>
      <c r="I80" s="936"/>
      <c r="J80" s="1024"/>
      <c r="K80" s="1024"/>
      <c r="L80" s="1024"/>
      <c r="M80" s="1024"/>
      <c r="N80" s="936"/>
      <c r="O80" s="937"/>
      <c r="P80" s="1024"/>
      <c r="Q80" s="1024"/>
      <c r="R80" s="1024"/>
      <c r="S80" s="1024"/>
      <c r="T80" s="1034"/>
    </row>
    <row r="81" spans="1:20" x14ac:dyDescent="0.25">
      <c r="A81" s="939" t="s">
        <v>994</v>
      </c>
      <c r="B81" s="1024">
        <v>2</v>
      </c>
      <c r="C81" s="1024"/>
      <c r="D81" s="1025"/>
      <c r="E81" s="1024"/>
      <c r="F81" s="1024"/>
      <c r="G81" s="1025"/>
      <c r="H81" s="1024"/>
      <c r="I81" s="936">
        <v>2</v>
      </c>
      <c r="J81" s="1024"/>
      <c r="K81" s="1024"/>
      <c r="L81" s="1024"/>
      <c r="M81" s="1024"/>
      <c r="N81" s="936"/>
      <c r="O81" s="937">
        <v>2</v>
      </c>
      <c r="P81" s="1024">
        <v>1</v>
      </c>
      <c r="Q81" s="1024">
        <v>2</v>
      </c>
      <c r="R81" s="1024"/>
      <c r="S81" s="1024"/>
      <c r="T81" s="1034">
        <v>2</v>
      </c>
    </row>
    <row r="82" spans="1:20" x14ac:dyDescent="0.25">
      <c r="A82" s="939" t="s">
        <v>995</v>
      </c>
      <c r="B82" s="1024"/>
      <c r="C82" s="1024"/>
      <c r="D82" s="1025"/>
      <c r="E82" s="1024"/>
      <c r="F82" s="1024"/>
      <c r="G82" s="1025"/>
      <c r="H82" s="1024"/>
      <c r="I82" s="936"/>
      <c r="J82" s="1024"/>
      <c r="K82" s="1024"/>
      <c r="L82" s="1024"/>
      <c r="M82" s="1024"/>
      <c r="N82" s="936"/>
      <c r="O82" s="937"/>
      <c r="P82" s="1024"/>
      <c r="Q82" s="1024"/>
      <c r="R82" s="1024"/>
      <c r="S82" s="1024"/>
      <c r="T82" s="1034"/>
    </row>
    <row r="83" spans="1:20" s="948" customFormat="1" x14ac:dyDescent="0.25">
      <c r="A83" s="910" t="s">
        <v>137</v>
      </c>
      <c r="B83" s="914">
        <v>7</v>
      </c>
      <c r="C83" s="914">
        <v>2</v>
      </c>
      <c r="D83" s="1035"/>
      <c r="E83" s="914">
        <v>5</v>
      </c>
      <c r="F83" s="914">
        <v>1</v>
      </c>
      <c r="G83" s="1035"/>
      <c r="H83" s="914">
        <v>1</v>
      </c>
      <c r="I83" s="914">
        <v>15</v>
      </c>
      <c r="J83" s="914"/>
      <c r="K83" s="914"/>
      <c r="L83" s="914"/>
      <c r="M83" s="914"/>
      <c r="N83" s="914"/>
      <c r="O83" s="914">
        <v>15</v>
      </c>
      <c r="P83" s="914">
        <v>6</v>
      </c>
      <c r="Q83" s="914">
        <v>11</v>
      </c>
      <c r="R83" s="914">
        <v>2</v>
      </c>
      <c r="S83" s="914">
        <v>1</v>
      </c>
      <c r="T83" s="914">
        <v>14</v>
      </c>
    </row>
    <row r="84" spans="1:20" s="948" customFormat="1" x14ac:dyDescent="0.25">
      <c r="A84" s="943" t="s">
        <v>996</v>
      </c>
      <c r="B84" s="932">
        <v>159</v>
      </c>
      <c r="C84" s="932">
        <v>73</v>
      </c>
      <c r="D84" s="1036">
        <v>2</v>
      </c>
      <c r="E84" s="932">
        <v>231</v>
      </c>
      <c r="F84" s="932">
        <v>45</v>
      </c>
      <c r="G84" s="1036">
        <v>2</v>
      </c>
      <c r="H84" s="932">
        <v>196</v>
      </c>
      <c r="I84" s="932">
        <v>652</v>
      </c>
      <c r="J84" s="932">
        <v>1</v>
      </c>
      <c r="K84" s="932">
        <v>0</v>
      </c>
      <c r="L84" s="932">
        <v>0</v>
      </c>
      <c r="M84" s="932">
        <v>0</v>
      </c>
      <c r="N84" s="932">
        <v>1</v>
      </c>
      <c r="O84" s="932">
        <v>653</v>
      </c>
      <c r="P84" s="932">
        <v>378</v>
      </c>
      <c r="Q84" s="932">
        <v>559</v>
      </c>
      <c r="R84" s="932">
        <v>18</v>
      </c>
      <c r="S84" s="932">
        <v>7</v>
      </c>
      <c r="T84" s="932">
        <v>584</v>
      </c>
    </row>
    <row r="85" spans="1:20" s="948" customFormat="1" x14ac:dyDescent="0.25"/>
    <row r="87" spans="1:20" ht="18.75" x14ac:dyDescent="0.25">
      <c r="A87" s="1056" t="s">
        <v>997</v>
      </c>
      <c r="B87" s="1057"/>
      <c r="C87" s="1057"/>
      <c r="D87" s="1057"/>
      <c r="E87" s="1057"/>
      <c r="F87" s="1057"/>
      <c r="G87" s="1057"/>
      <c r="H87" s="1057"/>
      <c r="I87" s="1057"/>
      <c r="J87" s="1057"/>
      <c r="K87" s="1057"/>
      <c r="L87" s="1057"/>
      <c r="M87" s="1057"/>
      <c r="N87" s="1057"/>
      <c r="O87" s="1057"/>
      <c r="P87" s="1057"/>
      <c r="Q87" s="1057"/>
      <c r="R87" s="1057"/>
      <c r="S87" s="1057"/>
      <c r="T87" s="1058"/>
    </row>
    <row r="88" spans="1:20" s="909" customFormat="1" x14ac:dyDescent="0.25">
      <c r="A88" s="1059" t="s">
        <v>493</v>
      </c>
      <c r="B88" s="1061" t="s">
        <v>1051</v>
      </c>
      <c r="C88" s="1062"/>
      <c r="D88" s="1062"/>
      <c r="E88" s="1062"/>
      <c r="F88" s="1062"/>
      <c r="G88" s="1062"/>
      <c r="H88" s="1062"/>
      <c r="I88" s="1063"/>
      <c r="J88" s="1064" t="s">
        <v>1052</v>
      </c>
      <c r="K88" s="1065"/>
      <c r="L88" s="1065"/>
      <c r="M88" s="1065"/>
      <c r="N88" s="1066"/>
      <c r="O88" s="1067" t="s">
        <v>1053</v>
      </c>
      <c r="P88" s="1068"/>
      <c r="Q88" s="1068"/>
      <c r="R88" s="1068"/>
      <c r="S88" s="1068"/>
      <c r="T88" s="1069"/>
    </row>
    <row r="89" spans="1:20" ht="60" x14ac:dyDescent="0.25">
      <c r="A89" s="1060"/>
      <c r="B89" s="951" t="s">
        <v>909</v>
      </c>
      <c r="C89" s="951" t="s">
        <v>882</v>
      </c>
      <c r="D89" s="951" t="s">
        <v>910</v>
      </c>
      <c r="E89" s="951" t="s">
        <v>883</v>
      </c>
      <c r="F89" s="951" t="s">
        <v>911</v>
      </c>
      <c r="G89" s="951" t="s">
        <v>912</v>
      </c>
      <c r="H89" s="951" t="s">
        <v>913</v>
      </c>
      <c r="I89" s="951" t="s">
        <v>914</v>
      </c>
      <c r="J89" s="952" t="s">
        <v>640</v>
      </c>
      <c r="K89" s="952" t="s">
        <v>882</v>
      </c>
      <c r="L89" s="952" t="s">
        <v>885</v>
      </c>
      <c r="M89" s="952" t="s">
        <v>913</v>
      </c>
      <c r="N89" s="952" t="s">
        <v>915</v>
      </c>
      <c r="O89" s="953" t="s">
        <v>139</v>
      </c>
      <c r="P89" s="953" t="s">
        <v>916</v>
      </c>
      <c r="Q89" s="953" t="s">
        <v>917</v>
      </c>
      <c r="R89" s="953" t="s">
        <v>918</v>
      </c>
      <c r="S89" s="953" t="s">
        <v>919</v>
      </c>
      <c r="T89" s="953" t="s">
        <v>920</v>
      </c>
    </row>
    <row r="90" spans="1:20" x14ac:dyDescent="0.25">
      <c r="A90" s="954" t="s">
        <v>998</v>
      </c>
      <c r="B90" s="1037">
        <v>92</v>
      </c>
      <c r="C90" s="1037">
        <v>35</v>
      </c>
      <c r="D90" s="1038">
        <v>2</v>
      </c>
      <c r="E90" s="1037">
        <v>85</v>
      </c>
      <c r="F90" s="1037">
        <v>11</v>
      </c>
      <c r="G90" s="1038">
        <v>2</v>
      </c>
      <c r="H90" s="1037">
        <v>71</v>
      </c>
      <c r="I90" s="1039">
        <v>279</v>
      </c>
      <c r="J90" s="1037"/>
      <c r="K90" s="1037"/>
      <c r="L90" s="1037"/>
      <c r="M90" s="1037"/>
      <c r="N90" s="1039"/>
      <c r="O90" s="1040">
        <v>279</v>
      </c>
      <c r="P90" s="1037">
        <v>158</v>
      </c>
      <c r="Q90" s="1037">
        <v>262</v>
      </c>
      <c r="R90" s="1037">
        <v>2</v>
      </c>
      <c r="S90" s="1037">
        <v>2</v>
      </c>
      <c r="T90" s="1040">
        <v>266</v>
      </c>
    </row>
    <row r="91" spans="1:20" x14ac:dyDescent="0.25">
      <c r="A91" s="954" t="s">
        <v>999</v>
      </c>
      <c r="B91" s="1037">
        <v>44</v>
      </c>
      <c r="C91" s="1037">
        <v>9</v>
      </c>
      <c r="D91" s="1038"/>
      <c r="E91" s="1037">
        <v>62</v>
      </c>
      <c r="F91" s="1037">
        <v>12</v>
      </c>
      <c r="G91" s="1038"/>
      <c r="H91" s="1037">
        <v>37</v>
      </c>
      <c r="I91" s="1039">
        <v>154</v>
      </c>
      <c r="J91" s="1037">
        <v>1</v>
      </c>
      <c r="K91" s="1037"/>
      <c r="L91" s="1037"/>
      <c r="M91" s="1037"/>
      <c r="N91" s="1039">
        <v>1</v>
      </c>
      <c r="O91" s="1040">
        <v>155</v>
      </c>
      <c r="P91" s="1037">
        <v>86</v>
      </c>
      <c r="Q91" s="1037">
        <v>130</v>
      </c>
      <c r="R91" s="1037">
        <v>12</v>
      </c>
      <c r="S91" s="1037">
        <v>2</v>
      </c>
      <c r="T91" s="1040">
        <v>144</v>
      </c>
    </row>
    <row r="92" spans="1:20" x14ac:dyDescent="0.25">
      <c r="A92" s="954" t="s">
        <v>1000</v>
      </c>
      <c r="B92" s="1037">
        <v>17</v>
      </c>
      <c r="C92" s="1037">
        <v>27</v>
      </c>
      <c r="D92" s="1038"/>
      <c r="E92" s="1037">
        <v>80</v>
      </c>
      <c r="F92" s="1037">
        <v>21</v>
      </c>
      <c r="G92" s="1038"/>
      <c r="H92" s="1037">
        <v>87</v>
      </c>
      <c r="I92" s="1039">
        <v>207</v>
      </c>
      <c r="J92" s="1037"/>
      <c r="K92" s="1037"/>
      <c r="L92" s="1037"/>
      <c r="M92" s="1037"/>
      <c r="N92" s="1039"/>
      <c r="O92" s="1040">
        <v>207</v>
      </c>
      <c r="P92" s="1037">
        <v>130</v>
      </c>
      <c r="Q92" s="1037">
        <v>159</v>
      </c>
      <c r="R92" s="1037">
        <v>2</v>
      </c>
      <c r="S92" s="1037">
        <v>2</v>
      </c>
      <c r="T92" s="1040">
        <v>163</v>
      </c>
    </row>
    <row r="93" spans="1:20" s="948" customFormat="1" x14ac:dyDescent="0.25">
      <c r="A93" s="957" t="s">
        <v>116</v>
      </c>
      <c r="B93" s="914">
        <v>152</v>
      </c>
      <c r="C93" s="914">
        <v>71</v>
      </c>
      <c r="D93" s="1035">
        <v>2</v>
      </c>
      <c r="E93" s="914">
        <v>226</v>
      </c>
      <c r="F93" s="914">
        <v>44</v>
      </c>
      <c r="G93" s="1035">
        <v>2</v>
      </c>
      <c r="H93" s="914">
        <v>195</v>
      </c>
      <c r="I93" s="1041">
        <v>637</v>
      </c>
      <c r="J93" s="914">
        <v>1</v>
      </c>
      <c r="K93" s="914"/>
      <c r="L93" s="914"/>
      <c r="M93" s="914"/>
      <c r="N93" s="1041">
        <v>1</v>
      </c>
      <c r="O93" s="914">
        <v>638</v>
      </c>
      <c r="P93" s="914">
        <v>372</v>
      </c>
      <c r="Q93" s="914">
        <v>548</v>
      </c>
      <c r="R93" s="914">
        <v>16</v>
      </c>
      <c r="S93" s="914">
        <v>6</v>
      </c>
      <c r="T93" s="914">
        <v>570</v>
      </c>
    </row>
    <row r="94" spans="1:20" s="948" customFormat="1" x14ac:dyDescent="0.25">
      <c r="A94" s="957" t="s">
        <v>137</v>
      </c>
      <c r="B94" s="914">
        <v>7</v>
      </c>
      <c r="C94" s="914">
        <v>2</v>
      </c>
      <c r="D94" s="1035"/>
      <c r="E94" s="914">
        <v>5</v>
      </c>
      <c r="F94" s="914">
        <v>1</v>
      </c>
      <c r="G94" s="1035"/>
      <c r="H94" s="914">
        <v>1</v>
      </c>
      <c r="I94" s="1042">
        <v>15</v>
      </c>
      <c r="J94" s="914"/>
      <c r="K94" s="914"/>
      <c r="L94" s="914"/>
      <c r="M94" s="914"/>
      <c r="N94" s="1042"/>
      <c r="O94" s="914">
        <v>15</v>
      </c>
      <c r="P94" s="914">
        <v>6</v>
      </c>
      <c r="Q94" s="914">
        <v>11</v>
      </c>
      <c r="R94" s="914">
        <v>2</v>
      </c>
      <c r="S94" s="914">
        <v>1</v>
      </c>
      <c r="T94" s="914">
        <v>14</v>
      </c>
    </row>
    <row r="95" spans="1:20" s="948" customFormat="1" x14ac:dyDescent="0.25">
      <c r="A95" s="960" t="s">
        <v>996</v>
      </c>
      <c r="B95" s="932">
        <v>159</v>
      </c>
      <c r="C95" s="932">
        <v>73</v>
      </c>
      <c r="D95" s="1036">
        <v>2</v>
      </c>
      <c r="E95" s="932">
        <v>231</v>
      </c>
      <c r="F95" s="932">
        <v>45</v>
      </c>
      <c r="G95" s="1036">
        <v>2</v>
      </c>
      <c r="H95" s="932">
        <v>196</v>
      </c>
      <c r="I95" s="1043">
        <v>652</v>
      </c>
      <c r="J95" s="932">
        <v>1</v>
      </c>
      <c r="K95" s="932">
        <v>0</v>
      </c>
      <c r="L95" s="932">
        <v>0</v>
      </c>
      <c r="M95" s="932">
        <v>0</v>
      </c>
      <c r="N95" s="1043">
        <v>1</v>
      </c>
      <c r="O95" s="932">
        <v>653</v>
      </c>
      <c r="P95" s="932">
        <v>378</v>
      </c>
      <c r="Q95" s="932">
        <v>559</v>
      </c>
      <c r="R95" s="932">
        <v>18</v>
      </c>
      <c r="S95" s="932">
        <v>7</v>
      </c>
      <c r="T95" s="932">
        <v>584</v>
      </c>
    </row>
    <row r="99" spans="1:20" ht="18.75" x14ac:dyDescent="0.25">
      <c r="A99" s="1056" t="s">
        <v>1001</v>
      </c>
      <c r="B99" s="1057"/>
      <c r="C99" s="1057"/>
      <c r="D99" s="1057"/>
      <c r="E99" s="1057"/>
      <c r="F99" s="1057"/>
      <c r="G99" s="1057"/>
      <c r="H99" s="1057"/>
      <c r="I99" s="1057"/>
      <c r="J99" s="1057"/>
      <c r="K99" s="1057"/>
      <c r="L99" s="1057"/>
      <c r="M99" s="1057"/>
      <c r="N99" s="1057"/>
      <c r="O99" s="1057"/>
      <c r="P99" s="1057"/>
      <c r="Q99" s="1057"/>
      <c r="R99" s="1057"/>
      <c r="S99" s="1057"/>
      <c r="T99" s="1058"/>
    </row>
    <row r="100" spans="1:20" s="909" customFormat="1" x14ac:dyDescent="0.25">
      <c r="A100" s="1059" t="s">
        <v>493</v>
      </c>
      <c r="B100" s="1061" t="s">
        <v>1051</v>
      </c>
      <c r="C100" s="1062"/>
      <c r="D100" s="1062"/>
      <c r="E100" s="1062"/>
      <c r="F100" s="1062"/>
      <c r="G100" s="1062"/>
      <c r="H100" s="1062"/>
      <c r="I100" s="1063"/>
      <c r="J100" s="1064" t="s">
        <v>1052</v>
      </c>
      <c r="K100" s="1065"/>
      <c r="L100" s="1065"/>
      <c r="M100" s="1065"/>
      <c r="N100" s="1066"/>
      <c r="O100" s="1067" t="s">
        <v>1053</v>
      </c>
      <c r="P100" s="1068"/>
      <c r="Q100" s="1068"/>
      <c r="R100" s="1068"/>
      <c r="S100" s="1068"/>
      <c r="T100" s="1069"/>
    </row>
    <row r="101" spans="1:20" ht="60" x14ac:dyDescent="0.25">
      <c r="A101" s="1060"/>
      <c r="B101" s="951" t="s">
        <v>909</v>
      </c>
      <c r="C101" s="951" t="s">
        <v>882</v>
      </c>
      <c r="D101" s="951" t="s">
        <v>910</v>
      </c>
      <c r="E101" s="951" t="s">
        <v>883</v>
      </c>
      <c r="F101" s="951" t="s">
        <v>911</v>
      </c>
      <c r="G101" s="951" t="s">
        <v>912</v>
      </c>
      <c r="H101" s="951" t="s">
        <v>913</v>
      </c>
      <c r="I101" s="951" t="s">
        <v>914</v>
      </c>
      <c r="J101" s="952" t="s">
        <v>640</v>
      </c>
      <c r="K101" s="952" t="s">
        <v>882</v>
      </c>
      <c r="L101" s="952" t="s">
        <v>885</v>
      </c>
      <c r="M101" s="952" t="s">
        <v>913</v>
      </c>
      <c r="N101" s="952" t="s">
        <v>915</v>
      </c>
      <c r="O101" s="953" t="s">
        <v>139</v>
      </c>
      <c r="P101" s="953" t="s">
        <v>916</v>
      </c>
      <c r="Q101" s="953" t="s">
        <v>917</v>
      </c>
      <c r="R101" s="953" t="s">
        <v>918</v>
      </c>
      <c r="S101" s="953" t="s">
        <v>919</v>
      </c>
      <c r="T101" s="953" t="s">
        <v>920</v>
      </c>
    </row>
    <row r="102" spans="1:20" x14ac:dyDescent="0.25">
      <c r="A102" s="957" t="s">
        <v>110</v>
      </c>
      <c r="B102" s="1022">
        <v>41</v>
      </c>
      <c r="C102" s="1022">
        <v>23</v>
      </c>
      <c r="D102" s="1023">
        <v>2</v>
      </c>
      <c r="E102" s="1022">
        <v>29</v>
      </c>
      <c r="F102" s="1022">
        <v>20</v>
      </c>
      <c r="G102" s="1023">
        <v>1</v>
      </c>
      <c r="H102" s="1022">
        <v>33</v>
      </c>
      <c r="I102" s="914">
        <v>131</v>
      </c>
      <c r="J102" s="1022">
        <v>1</v>
      </c>
      <c r="K102" s="1022"/>
      <c r="L102" s="1022">
        <v>3</v>
      </c>
      <c r="M102" s="1022">
        <v>1</v>
      </c>
      <c r="N102" s="914">
        <v>5</v>
      </c>
      <c r="O102" s="914">
        <v>135</v>
      </c>
      <c r="P102" s="1022">
        <v>100</v>
      </c>
      <c r="Q102" s="1022">
        <v>68</v>
      </c>
      <c r="R102" s="1022">
        <v>52</v>
      </c>
      <c r="S102" s="1022">
        <v>13</v>
      </c>
      <c r="T102" s="1022">
        <v>133</v>
      </c>
    </row>
    <row r="103" spans="1:20" x14ac:dyDescent="0.25">
      <c r="A103" s="962" t="s">
        <v>922</v>
      </c>
      <c r="B103" s="1037">
        <v>40</v>
      </c>
      <c r="C103" s="1037">
        <v>22</v>
      </c>
      <c r="D103" s="1038">
        <v>2</v>
      </c>
      <c r="E103" s="1037">
        <v>29</v>
      </c>
      <c r="F103" s="1037">
        <v>20</v>
      </c>
      <c r="G103" s="1038">
        <v>1</v>
      </c>
      <c r="H103" s="1037">
        <v>33</v>
      </c>
      <c r="I103" s="921">
        <v>129</v>
      </c>
      <c r="J103" s="1037">
        <v>1</v>
      </c>
      <c r="K103" s="1037"/>
      <c r="L103" s="1037">
        <v>3</v>
      </c>
      <c r="M103" s="1037">
        <v>1</v>
      </c>
      <c r="N103" s="921">
        <v>5</v>
      </c>
      <c r="O103" s="922">
        <v>133</v>
      </c>
      <c r="P103" s="1037">
        <v>99</v>
      </c>
      <c r="Q103" s="1037">
        <v>68</v>
      </c>
      <c r="R103" s="1037">
        <v>50</v>
      </c>
      <c r="S103" s="1037">
        <v>13</v>
      </c>
      <c r="T103" s="1026">
        <v>131</v>
      </c>
    </row>
    <row r="104" spans="1:20" x14ac:dyDescent="0.25">
      <c r="A104" s="962" t="s">
        <v>923</v>
      </c>
      <c r="B104" s="1037"/>
      <c r="C104" s="1037"/>
      <c r="D104" s="1038"/>
      <c r="E104" s="1037"/>
      <c r="F104" s="1037"/>
      <c r="G104" s="1038"/>
      <c r="H104" s="1037"/>
      <c r="I104" s="921"/>
      <c r="J104" s="1037"/>
      <c r="K104" s="1037"/>
      <c r="L104" s="1037"/>
      <c r="M104" s="1037"/>
      <c r="N104" s="921"/>
      <c r="O104" s="922"/>
      <c r="P104" s="1037"/>
      <c r="Q104" s="1037"/>
      <c r="R104" s="1037"/>
      <c r="S104" s="1037"/>
      <c r="T104" s="1026"/>
    </row>
    <row r="105" spans="1:20" x14ac:dyDescent="0.25">
      <c r="A105" s="962" t="s">
        <v>924</v>
      </c>
      <c r="B105" s="1037"/>
      <c r="C105" s="1037"/>
      <c r="D105" s="1038"/>
      <c r="E105" s="1037"/>
      <c r="F105" s="1037"/>
      <c r="G105" s="1038"/>
      <c r="H105" s="1037"/>
      <c r="I105" s="921"/>
      <c r="J105" s="1037"/>
      <c r="K105" s="1037"/>
      <c r="L105" s="1037"/>
      <c r="M105" s="1037"/>
      <c r="N105" s="921"/>
      <c r="O105" s="922"/>
      <c r="P105" s="1037"/>
      <c r="Q105" s="1037"/>
      <c r="R105" s="1037"/>
      <c r="S105" s="1037"/>
      <c r="T105" s="1026"/>
    </row>
    <row r="106" spans="1:20" x14ac:dyDescent="0.25">
      <c r="A106" s="962" t="s">
        <v>925</v>
      </c>
      <c r="B106" s="1037"/>
      <c r="C106" s="1037"/>
      <c r="D106" s="1038"/>
      <c r="E106" s="1037"/>
      <c r="F106" s="1037"/>
      <c r="G106" s="1038"/>
      <c r="H106" s="1037"/>
      <c r="I106" s="921"/>
      <c r="J106" s="1037"/>
      <c r="K106" s="1037"/>
      <c r="L106" s="1037"/>
      <c r="M106" s="1037"/>
      <c r="N106" s="921"/>
      <c r="O106" s="922"/>
      <c r="P106" s="1037"/>
      <c r="Q106" s="1037"/>
      <c r="R106" s="1037"/>
      <c r="S106" s="1037"/>
      <c r="T106" s="1026"/>
    </row>
    <row r="107" spans="1:20" x14ac:dyDescent="0.25">
      <c r="A107" s="962" t="s">
        <v>926</v>
      </c>
      <c r="B107" s="1037"/>
      <c r="C107" s="1037"/>
      <c r="D107" s="1038"/>
      <c r="E107" s="1037"/>
      <c r="F107" s="1037"/>
      <c r="G107" s="1038"/>
      <c r="H107" s="1037"/>
      <c r="I107" s="921"/>
      <c r="J107" s="1037"/>
      <c r="K107" s="1037"/>
      <c r="L107" s="1037"/>
      <c r="M107" s="1037"/>
      <c r="N107" s="921"/>
      <c r="O107" s="922"/>
      <c r="P107" s="1037"/>
      <c r="Q107" s="1037"/>
      <c r="R107" s="1037"/>
      <c r="S107" s="1037"/>
      <c r="T107" s="1026"/>
    </row>
    <row r="108" spans="1:20" x14ac:dyDescent="0.25">
      <c r="A108" s="962" t="s">
        <v>927</v>
      </c>
      <c r="B108" s="1037">
        <v>1</v>
      </c>
      <c r="C108" s="1037">
        <v>1</v>
      </c>
      <c r="D108" s="1038"/>
      <c r="E108" s="1037"/>
      <c r="F108" s="1037"/>
      <c r="G108" s="1038"/>
      <c r="H108" s="1037"/>
      <c r="I108" s="921">
        <v>2</v>
      </c>
      <c r="J108" s="1037"/>
      <c r="K108" s="1037"/>
      <c r="L108" s="1037"/>
      <c r="M108" s="1037"/>
      <c r="N108" s="921"/>
      <c r="O108" s="922">
        <v>2</v>
      </c>
      <c r="P108" s="1037">
        <v>1</v>
      </c>
      <c r="Q108" s="1037"/>
      <c r="R108" s="1037">
        <v>2</v>
      </c>
      <c r="S108" s="1037"/>
      <c r="T108" s="1026">
        <v>2</v>
      </c>
    </row>
    <row r="109" spans="1:20" x14ac:dyDescent="0.25">
      <c r="A109" s="957" t="s">
        <v>928</v>
      </c>
      <c r="B109" s="1022">
        <v>29</v>
      </c>
      <c r="C109" s="1022">
        <v>13</v>
      </c>
      <c r="D109" s="1023"/>
      <c r="E109" s="1022">
        <v>19</v>
      </c>
      <c r="F109" s="1022">
        <v>17</v>
      </c>
      <c r="G109" s="1023"/>
      <c r="H109" s="1022">
        <v>14</v>
      </c>
      <c r="I109" s="914">
        <v>81</v>
      </c>
      <c r="J109" s="1022">
        <v>5</v>
      </c>
      <c r="K109" s="1022">
        <v>3</v>
      </c>
      <c r="L109" s="1022">
        <v>8</v>
      </c>
      <c r="M109" s="1022">
        <v>1</v>
      </c>
      <c r="N109" s="914">
        <v>14</v>
      </c>
      <c r="O109" s="914">
        <v>92</v>
      </c>
      <c r="P109" s="1022">
        <v>68</v>
      </c>
      <c r="Q109" s="1022">
        <v>28</v>
      </c>
      <c r="R109" s="1022">
        <v>30</v>
      </c>
      <c r="S109" s="1022">
        <v>27</v>
      </c>
      <c r="T109" s="1022">
        <v>85</v>
      </c>
    </row>
    <row r="110" spans="1:20" x14ac:dyDescent="0.25">
      <c r="A110" s="962" t="s">
        <v>929</v>
      </c>
      <c r="B110" s="1037">
        <v>5</v>
      </c>
      <c r="C110" s="1037">
        <v>3</v>
      </c>
      <c r="D110" s="1038"/>
      <c r="E110" s="1037">
        <v>8</v>
      </c>
      <c r="F110" s="1037">
        <v>5</v>
      </c>
      <c r="G110" s="1038"/>
      <c r="H110" s="1037">
        <v>4</v>
      </c>
      <c r="I110" s="921">
        <v>19</v>
      </c>
      <c r="J110" s="1037">
        <v>1</v>
      </c>
      <c r="K110" s="1037">
        <v>1</v>
      </c>
      <c r="L110" s="1037"/>
      <c r="M110" s="1037"/>
      <c r="N110" s="921">
        <v>2</v>
      </c>
      <c r="O110" s="922">
        <v>21</v>
      </c>
      <c r="P110" s="1037">
        <v>17</v>
      </c>
      <c r="Q110" s="1037">
        <v>3</v>
      </c>
      <c r="R110" s="1037">
        <v>7</v>
      </c>
      <c r="S110" s="1037">
        <v>11</v>
      </c>
      <c r="T110" s="1026">
        <v>21</v>
      </c>
    </row>
    <row r="111" spans="1:20" x14ac:dyDescent="0.25">
      <c r="A111" s="962" t="s">
        <v>930</v>
      </c>
      <c r="B111" s="1037">
        <v>2</v>
      </c>
      <c r="C111" s="1037">
        <v>1</v>
      </c>
      <c r="D111" s="1038"/>
      <c r="E111" s="1037">
        <v>2</v>
      </c>
      <c r="F111" s="1037">
        <v>2</v>
      </c>
      <c r="G111" s="1038"/>
      <c r="H111" s="1037">
        <v>4</v>
      </c>
      <c r="I111" s="921">
        <v>9</v>
      </c>
      <c r="J111" s="1037">
        <v>1</v>
      </c>
      <c r="K111" s="1037">
        <v>1</v>
      </c>
      <c r="L111" s="1037">
        <v>3</v>
      </c>
      <c r="M111" s="1037"/>
      <c r="N111" s="921">
        <v>4</v>
      </c>
      <c r="O111" s="922">
        <v>12</v>
      </c>
      <c r="P111" s="1037">
        <v>10</v>
      </c>
      <c r="Q111" s="1037">
        <v>6</v>
      </c>
      <c r="R111" s="1037">
        <v>3</v>
      </c>
      <c r="S111" s="1037">
        <v>1</v>
      </c>
      <c r="T111" s="1026">
        <v>10</v>
      </c>
    </row>
    <row r="112" spans="1:20" x14ac:dyDescent="0.25">
      <c r="A112" s="962" t="s">
        <v>931</v>
      </c>
      <c r="B112" s="1037"/>
      <c r="C112" s="1037">
        <v>1</v>
      </c>
      <c r="D112" s="1038"/>
      <c r="E112" s="1037">
        <v>1</v>
      </c>
      <c r="F112" s="1037"/>
      <c r="G112" s="1038"/>
      <c r="H112" s="1037"/>
      <c r="I112" s="921">
        <v>2</v>
      </c>
      <c r="J112" s="1037"/>
      <c r="K112" s="1037"/>
      <c r="L112" s="1037"/>
      <c r="M112" s="1037"/>
      <c r="N112" s="921"/>
      <c r="O112" s="922">
        <v>2</v>
      </c>
      <c r="P112" s="1037">
        <v>1</v>
      </c>
      <c r="Q112" s="1037"/>
      <c r="R112" s="1037">
        <v>1</v>
      </c>
      <c r="S112" s="1037"/>
      <c r="T112" s="1026">
        <v>1</v>
      </c>
    </row>
    <row r="113" spans="1:20" x14ac:dyDescent="0.25">
      <c r="A113" s="962" t="s">
        <v>932</v>
      </c>
      <c r="B113" s="1037"/>
      <c r="C113" s="1037"/>
      <c r="D113" s="1038"/>
      <c r="E113" s="1037"/>
      <c r="F113" s="1037"/>
      <c r="G113" s="1038"/>
      <c r="H113" s="1037"/>
      <c r="I113" s="921"/>
      <c r="J113" s="1037"/>
      <c r="K113" s="1037"/>
      <c r="L113" s="1037"/>
      <c r="M113" s="1037"/>
      <c r="N113" s="921"/>
      <c r="O113" s="922"/>
      <c r="P113" s="1037"/>
      <c r="Q113" s="1037"/>
      <c r="R113" s="1037"/>
      <c r="S113" s="1037"/>
      <c r="T113" s="1026"/>
    </row>
    <row r="114" spans="1:20" x14ac:dyDescent="0.25">
      <c r="A114" s="962" t="s">
        <v>933</v>
      </c>
      <c r="B114" s="1037"/>
      <c r="C114" s="1037"/>
      <c r="D114" s="1038"/>
      <c r="E114" s="1037"/>
      <c r="F114" s="1037"/>
      <c r="G114" s="1038"/>
      <c r="H114" s="1037"/>
      <c r="I114" s="921"/>
      <c r="J114" s="1037"/>
      <c r="K114" s="1037"/>
      <c r="L114" s="1037"/>
      <c r="M114" s="1037"/>
      <c r="N114" s="921"/>
      <c r="O114" s="922"/>
      <c r="P114" s="1037"/>
      <c r="Q114" s="1037"/>
      <c r="R114" s="1037"/>
      <c r="S114" s="1037"/>
      <c r="T114" s="1026"/>
    </row>
    <row r="115" spans="1:20" x14ac:dyDescent="0.25">
      <c r="A115" s="962" t="s">
        <v>934</v>
      </c>
      <c r="B115" s="1037">
        <v>6</v>
      </c>
      <c r="C115" s="1037">
        <v>4</v>
      </c>
      <c r="D115" s="1038"/>
      <c r="E115" s="1037">
        <v>3</v>
      </c>
      <c r="F115" s="1037">
        <v>7</v>
      </c>
      <c r="G115" s="1038"/>
      <c r="H115" s="1037">
        <v>6</v>
      </c>
      <c r="I115" s="921">
        <v>24</v>
      </c>
      <c r="J115" s="1037">
        <v>1</v>
      </c>
      <c r="K115" s="1037"/>
      <c r="L115" s="1037">
        <v>2</v>
      </c>
      <c r="M115" s="1037"/>
      <c r="N115" s="921">
        <v>3</v>
      </c>
      <c r="O115" s="922">
        <v>26</v>
      </c>
      <c r="P115" s="1037">
        <v>21</v>
      </c>
      <c r="Q115" s="1037">
        <v>6</v>
      </c>
      <c r="R115" s="1037">
        <v>10</v>
      </c>
      <c r="S115" s="1037">
        <v>8</v>
      </c>
      <c r="T115" s="1026">
        <v>24</v>
      </c>
    </row>
    <row r="116" spans="1:20" x14ac:dyDescent="0.25">
      <c r="A116" s="962" t="s">
        <v>935</v>
      </c>
      <c r="B116" s="1037">
        <v>13</v>
      </c>
      <c r="C116" s="1037">
        <v>4</v>
      </c>
      <c r="D116" s="1038"/>
      <c r="E116" s="1037">
        <v>3</v>
      </c>
      <c r="F116" s="1037">
        <v>3</v>
      </c>
      <c r="G116" s="1038"/>
      <c r="H116" s="1037"/>
      <c r="I116" s="921">
        <v>22</v>
      </c>
      <c r="J116" s="1037">
        <v>2</v>
      </c>
      <c r="K116" s="1037">
        <v>1</v>
      </c>
      <c r="L116" s="1037">
        <v>3</v>
      </c>
      <c r="M116" s="1037">
        <v>1</v>
      </c>
      <c r="N116" s="921">
        <v>5</v>
      </c>
      <c r="O116" s="922">
        <v>26</v>
      </c>
      <c r="P116" s="1037">
        <v>17</v>
      </c>
      <c r="Q116" s="1037">
        <v>10</v>
      </c>
      <c r="R116" s="1037">
        <v>7</v>
      </c>
      <c r="S116" s="1037">
        <v>7</v>
      </c>
      <c r="T116" s="1026">
        <v>24</v>
      </c>
    </row>
    <row r="117" spans="1:20" x14ac:dyDescent="0.25">
      <c r="A117" s="962" t="s">
        <v>936</v>
      </c>
      <c r="B117" s="1037">
        <v>1</v>
      </c>
      <c r="C117" s="1037"/>
      <c r="D117" s="1038"/>
      <c r="E117" s="1037">
        <v>1</v>
      </c>
      <c r="F117" s="1037"/>
      <c r="G117" s="1038"/>
      <c r="H117" s="1037"/>
      <c r="I117" s="921">
        <v>2</v>
      </c>
      <c r="J117" s="1037"/>
      <c r="K117" s="1037"/>
      <c r="L117" s="1037"/>
      <c r="M117" s="1037"/>
      <c r="N117" s="921"/>
      <c r="O117" s="922">
        <v>2</v>
      </c>
      <c r="P117" s="1037">
        <v>1</v>
      </c>
      <c r="Q117" s="1037">
        <v>1</v>
      </c>
      <c r="R117" s="1037">
        <v>1</v>
      </c>
      <c r="S117" s="1037"/>
      <c r="T117" s="1026">
        <v>2</v>
      </c>
    </row>
    <row r="118" spans="1:20" x14ac:dyDescent="0.25">
      <c r="A118" s="962" t="s">
        <v>937</v>
      </c>
      <c r="B118" s="1037"/>
      <c r="C118" s="1037"/>
      <c r="D118" s="1038"/>
      <c r="E118" s="1037">
        <v>1</v>
      </c>
      <c r="F118" s="1037"/>
      <c r="G118" s="1038"/>
      <c r="H118" s="1037"/>
      <c r="I118" s="921">
        <v>1</v>
      </c>
      <c r="J118" s="1037"/>
      <c r="K118" s="1037"/>
      <c r="L118" s="1037"/>
      <c r="M118" s="1037"/>
      <c r="N118" s="921"/>
      <c r="O118" s="922">
        <v>1</v>
      </c>
      <c r="P118" s="1037"/>
      <c r="Q118" s="1037">
        <v>1</v>
      </c>
      <c r="R118" s="1037"/>
      <c r="S118" s="1037"/>
      <c r="T118" s="1026">
        <v>1</v>
      </c>
    </row>
    <row r="119" spans="1:20" x14ac:dyDescent="0.25">
      <c r="A119" s="962" t="s">
        <v>938</v>
      </c>
      <c r="B119" s="1037"/>
      <c r="C119" s="1037"/>
      <c r="D119" s="1038"/>
      <c r="E119" s="1037"/>
      <c r="F119" s="1037"/>
      <c r="G119" s="1038"/>
      <c r="H119" s="1037"/>
      <c r="I119" s="921"/>
      <c r="J119" s="1037"/>
      <c r="K119" s="1037"/>
      <c r="L119" s="1037"/>
      <c r="M119" s="1037"/>
      <c r="N119" s="921"/>
      <c r="O119" s="922"/>
      <c r="P119" s="1037"/>
      <c r="Q119" s="1037"/>
      <c r="R119" s="1037"/>
      <c r="S119" s="1037"/>
      <c r="T119" s="1026"/>
    </row>
    <row r="120" spans="1:20" x14ac:dyDescent="0.25">
      <c r="A120" s="962" t="s">
        <v>939</v>
      </c>
      <c r="B120" s="1037">
        <v>2</v>
      </c>
      <c r="C120" s="1037"/>
      <c r="D120" s="1038"/>
      <c r="E120" s="1037"/>
      <c r="F120" s="1037"/>
      <c r="G120" s="1038"/>
      <c r="H120" s="1037"/>
      <c r="I120" s="921">
        <v>2</v>
      </c>
      <c r="J120" s="1037"/>
      <c r="K120" s="1037"/>
      <c r="L120" s="1037"/>
      <c r="M120" s="1037"/>
      <c r="N120" s="921"/>
      <c r="O120" s="922">
        <v>2</v>
      </c>
      <c r="P120" s="1037">
        <v>1</v>
      </c>
      <c r="Q120" s="1037">
        <v>1</v>
      </c>
      <c r="R120" s="1037">
        <v>1</v>
      </c>
      <c r="S120" s="1037"/>
      <c r="T120" s="1026">
        <v>2</v>
      </c>
    </row>
    <row r="121" spans="1:20" x14ac:dyDescent="0.25">
      <c r="A121" s="962" t="s">
        <v>940</v>
      </c>
      <c r="B121" s="1037"/>
      <c r="C121" s="1037"/>
      <c r="D121" s="1038"/>
      <c r="E121" s="1037"/>
      <c r="F121" s="1037"/>
      <c r="G121" s="1038"/>
      <c r="H121" s="1037"/>
      <c r="I121" s="921"/>
      <c r="J121" s="1037"/>
      <c r="K121" s="1037"/>
      <c r="L121" s="1037"/>
      <c r="M121" s="1037"/>
      <c r="N121" s="921"/>
      <c r="O121" s="922"/>
      <c r="P121" s="1037"/>
      <c r="Q121" s="1037"/>
      <c r="R121" s="1037"/>
      <c r="S121" s="1037"/>
      <c r="T121" s="1026"/>
    </row>
    <row r="122" spans="1:20" x14ac:dyDescent="0.25">
      <c r="A122" s="957" t="s">
        <v>229</v>
      </c>
      <c r="B122" s="1022">
        <v>7</v>
      </c>
      <c r="C122" s="1022">
        <v>6</v>
      </c>
      <c r="D122" s="1023"/>
      <c r="E122" s="1022">
        <v>4</v>
      </c>
      <c r="F122" s="1022">
        <v>4</v>
      </c>
      <c r="G122" s="1023"/>
      <c r="H122" s="1022">
        <v>2</v>
      </c>
      <c r="I122" s="914">
        <v>21</v>
      </c>
      <c r="J122" s="1022">
        <v>2</v>
      </c>
      <c r="K122" s="1022">
        <v>1</v>
      </c>
      <c r="L122" s="1022">
        <v>2</v>
      </c>
      <c r="M122" s="1022"/>
      <c r="N122" s="914">
        <v>2</v>
      </c>
      <c r="O122" s="914">
        <v>21</v>
      </c>
      <c r="P122" s="1022">
        <v>14</v>
      </c>
      <c r="Q122" s="1022">
        <v>11</v>
      </c>
      <c r="R122" s="1022">
        <v>5</v>
      </c>
      <c r="S122" s="1022">
        <v>4</v>
      </c>
      <c r="T122" s="1022">
        <v>20</v>
      </c>
    </row>
    <row r="123" spans="1:20" x14ac:dyDescent="0.25">
      <c r="A123" s="962" t="s">
        <v>941</v>
      </c>
      <c r="B123" s="1037">
        <v>3</v>
      </c>
      <c r="C123" s="1037">
        <v>5</v>
      </c>
      <c r="D123" s="1038"/>
      <c r="E123" s="1037">
        <v>3</v>
      </c>
      <c r="F123" s="1037">
        <v>4</v>
      </c>
      <c r="G123" s="1038"/>
      <c r="H123" s="1037">
        <v>1</v>
      </c>
      <c r="I123" s="921">
        <v>14</v>
      </c>
      <c r="J123" s="1037">
        <v>2</v>
      </c>
      <c r="K123" s="1037">
        <v>1</v>
      </c>
      <c r="L123" s="1037">
        <v>2</v>
      </c>
      <c r="M123" s="1037"/>
      <c r="N123" s="921">
        <v>2</v>
      </c>
      <c r="O123" s="922">
        <v>14</v>
      </c>
      <c r="P123" s="1037">
        <v>9</v>
      </c>
      <c r="Q123" s="1037">
        <v>6</v>
      </c>
      <c r="R123" s="1037">
        <v>3</v>
      </c>
      <c r="S123" s="1037">
        <v>4</v>
      </c>
      <c r="T123" s="1026">
        <v>13</v>
      </c>
    </row>
    <row r="124" spans="1:20" x14ac:dyDescent="0.25">
      <c r="A124" s="962" t="s">
        <v>942</v>
      </c>
      <c r="B124" s="1037">
        <v>2</v>
      </c>
      <c r="C124" s="1037"/>
      <c r="D124" s="1038"/>
      <c r="E124" s="1037"/>
      <c r="F124" s="1037"/>
      <c r="G124" s="1038"/>
      <c r="H124" s="1037"/>
      <c r="I124" s="921">
        <v>2</v>
      </c>
      <c r="J124" s="1037"/>
      <c r="K124" s="1037"/>
      <c r="L124" s="1037"/>
      <c r="M124" s="1037"/>
      <c r="N124" s="921"/>
      <c r="O124" s="922">
        <v>2</v>
      </c>
      <c r="P124" s="1037">
        <v>1</v>
      </c>
      <c r="Q124" s="1037">
        <v>2</v>
      </c>
      <c r="R124" s="1037"/>
      <c r="S124" s="1037"/>
      <c r="T124" s="1026">
        <v>2</v>
      </c>
    </row>
    <row r="125" spans="1:20" x14ac:dyDescent="0.25">
      <c r="A125" s="962" t="s">
        <v>943</v>
      </c>
      <c r="B125" s="1037"/>
      <c r="C125" s="1037"/>
      <c r="D125" s="1038"/>
      <c r="E125" s="1037"/>
      <c r="F125" s="1037"/>
      <c r="G125" s="1038"/>
      <c r="H125" s="1037"/>
      <c r="I125" s="921"/>
      <c r="J125" s="1037"/>
      <c r="K125" s="1037"/>
      <c r="L125" s="1037"/>
      <c r="M125" s="1037"/>
      <c r="N125" s="921"/>
      <c r="O125" s="922"/>
      <c r="P125" s="1037"/>
      <c r="Q125" s="1037"/>
      <c r="R125" s="1037"/>
      <c r="S125" s="1037"/>
      <c r="T125" s="1026"/>
    </row>
    <row r="126" spans="1:20" x14ac:dyDescent="0.25">
      <c r="A126" s="962" t="s">
        <v>944</v>
      </c>
      <c r="B126" s="1037"/>
      <c r="C126" s="1037"/>
      <c r="D126" s="1038"/>
      <c r="E126" s="1037"/>
      <c r="F126" s="1037"/>
      <c r="G126" s="1038"/>
      <c r="H126" s="1037"/>
      <c r="I126" s="921"/>
      <c r="J126" s="1037"/>
      <c r="K126" s="1037"/>
      <c r="L126" s="1037"/>
      <c r="M126" s="1037"/>
      <c r="N126" s="921"/>
      <c r="O126" s="922"/>
      <c r="P126" s="1037"/>
      <c r="Q126" s="1037"/>
      <c r="R126" s="1037"/>
      <c r="S126" s="1037"/>
      <c r="T126" s="1026"/>
    </row>
    <row r="127" spans="1:20" x14ac:dyDescent="0.25">
      <c r="A127" s="962" t="s">
        <v>945</v>
      </c>
      <c r="B127" s="1037">
        <v>1</v>
      </c>
      <c r="C127" s="1037">
        <v>1</v>
      </c>
      <c r="D127" s="1038"/>
      <c r="E127" s="1037"/>
      <c r="F127" s="1037"/>
      <c r="G127" s="1038"/>
      <c r="H127" s="1037">
        <v>1</v>
      </c>
      <c r="I127" s="921">
        <v>3</v>
      </c>
      <c r="J127" s="1037"/>
      <c r="K127" s="1037"/>
      <c r="L127" s="1037"/>
      <c r="M127" s="1037"/>
      <c r="N127" s="921"/>
      <c r="O127" s="922">
        <v>3</v>
      </c>
      <c r="P127" s="1037">
        <v>2</v>
      </c>
      <c r="Q127" s="1037">
        <v>1</v>
      </c>
      <c r="R127" s="1037">
        <v>2</v>
      </c>
      <c r="S127" s="1037"/>
      <c r="T127" s="1026">
        <v>3</v>
      </c>
    </row>
    <row r="128" spans="1:20" x14ac:dyDescent="0.25">
      <c r="A128" s="962" t="s">
        <v>946</v>
      </c>
      <c r="B128" s="1037"/>
      <c r="C128" s="1037"/>
      <c r="D128" s="1038"/>
      <c r="E128" s="1037"/>
      <c r="F128" s="1037"/>
      <c r="G128" s="1038"/>
      <c r="H128" s="1037"/>
      <c r="I128" s="921"/>
      <c r="J128" s="1037"/>
      <c r="K128" s="1037"/>
      <c r="L128" s="1037"/>
      <c r="M128" s="1037"/>
      <c r="N128" s="921"/>
      <c r="O128" s="922"/>
      <c r="P128" s="1037"/>
      <c r="Q128" s="1037"/>
      <c r="R128" s="1037"/>
      <c r="S128" s="1037"/>
      <c r="T128" s="1026"/>
    </row>
    <row r="129" spans="1:20" x14ac:dyDescent="0.25">
      <c r="A129" s="962" t="s">
        <v>947</v>
      </c>
      <c r="B129" s="1037"/>
      <c r="C129" s="1037"/>
      <c r="D129" s="1038"/>
      <c r="E129" s="1037"/>
      <c r="F129" s="1037"/>
      <c r="G129" s="1038"/>
      <c r="H129" s="1037"/>
      <c r="I129" s="921"/>
      <c r="J129" s="1037"/>
      <c r="K129" s="1037"/>
      <c r="L129" s="1037"/>
      <c r="M129" s="1037"/>
      <c r="N129" s="921"/>
      <c r="O129" s="922"/>
      <c r="P129" s="1037"/>
      <c r="Q129" s="1037"/>
      <c r="R129" s="1037"/>
      <c r="S129" s="1037"/>
      <c r="T129" s="1026"/>
    </row>
    <row r="130" spans="1:20" x14ac:dyDescent="0.25">
      <c r="A130" s="962" t="s">
        <v>948</v>
      </c>
      <c r="B130" s="1037"/>
      <c r="C130" s="1037"/>
      <c r="D130" s="1038"/>
      <c r="E130" s="1037"/>
      <c r="F130" s="1037"/>
      <c r="G130" s="1038"/>
      <c r="H130" s="1037"/>
      <c r="I130" s="921"/>
      <c r="J130" s="1037"/>
      <c r="K130" s="1037"/>
      <c r="L130" s="1037"/>
      <c r="M130" s="1037"/>
      <c r="N130" s="921"/>
      <c r="O130" s="922"/>
      <c r="P130" s="1037"/>
      <c r="Q130" s="1037"/>
      <c r="R130" s="1037"/>
      <c r="S130" s="1037"/>
      <c r="T130" s="1026"/>
    </row>
    <row r="131" spans="1:20" x14ac:dyDescent="0.25">
      <c r="A131" s="962" t="s">
        <v>949</v>
      </c>
      <c r="B131" s="1037"/>
      <c r="C131" s="1037"/>
      <c r="D131" s="1038"/>
      <c r="E131" s="1037"/>
      <c r="F131" s="1037"/>
      <c r="G131" s="1038"/>
      <c r="H131" s="1037"/>
      <c r="I131" s="921"/>
      <c r="J131" s="1037"/>
      <c r="K131" s="1037"/>
      <c r="L131" s="1037"/>
      <c r="M131" s="1037"/>
      <c r="N131" s="921"/>
      <c r="O131" s="922"/>
      <c r="P131" s="1037"/>
      <c r="Q131" s="1037"/>
      <c r="R131" s="1037"/>
      <c r="S131" s="1037"/>
      <c r="T131" s="1026"/>
    </row>
    <row r="132" spans="1:20" x14ac:dyDescent="0.25">
      <c r="A132" s="962" t="s">
        <v>950</v>
      </c>
      <c r="B132" s="1037"/>
      <c r="C132" s="1037"/>
      <c r="D132" s="1038"/>
      <c r="E132" s="1037">
        <v>1</v>
      </c>
      <c r="F132" s="1037"/>
      <c r="G132" s="1038"/>
      <c r="H132" s="1037"/>
      <c r="I132" s="921">
        <v>1</v>
      </c>
      <c r="J132" s="1037"/>
      <c r="K132" s="1037"/>
      <c r="L132" s="1037"/>
      <c r="M132" s="1037"/>
      <c r="N132" s="921"/>
      <c r="O132" s="922">
        <v>1</v>
      </c>
      <c r="P132" s="1037">
        <v>1</v>
      </c>
      <c r="Q132" s="1037">
        <v>1</v>
      </c>
      <c r="R132" s="1037"/>
      <c r="S132" s="1037"/>
      <c r="T132" s="1026">
        <v>1</v>
      </c>
    </row>
    <row r="133" spans="1:20" x14ac:dyDescent="0.25">
      <c r="A133" s="962" t="s">
        <v>951</v>
      </c>
      <c r="B133" s="1037">
        <v>1</v>
      </c>
      <c r="C133" s="1037"/>
      <c r="D133" s="1038"/>
      <c r="E133" s="1037"/>
      <c r="F133" s="1037"/>
      <c r="G133" s="1038"/>
      <c r="H133" s="1037"/>
      <c r="I133" s="921">
        <v>1</v>
      </c>
      <c r="J133" s="1037"/>
      <c r="K133" s="1037"/>
      <c r="L133" s="1037"/>
      <c r="M133" s="1037"/>
      <c r="N133" s="921"/>
      <c r="O133" s="922">
        <v>1</v>
      </c>
      <c r="P133" s="1037">
        <v>1</v>
      </c>
      <c r="Q133" s="1037">
        <v>1</v>
      </c>
      <c r="R133" s="1037"/>
      <c r="S133" s="1037"/>
      <c r="T133" s="1026">
        <v>1</v>
      </c>
    </row>
    <row r="134" spans="1:20" x14ac:dyDescent="0.25">
      <c r="A134" s="957" t="s">
        <v>115</v>
      </c>
      <c r="B134" s="1022">
        <v>28</v>
      </c>
      <c r="C134" s="1022">
        <v>17</v>
      </c>
      <c r="D134" s="1023">
        <v>3</v>
      </c>
      <c r="E134" s="1022">
        <v>32</v>
      </c>
      <c r="F134" s="1022">
        <v>5</v>
      </c>
      <c r="G134" s="1023"/>
      <c r="H134" s="1022">
        <v>10</v>
      </c>
      <c r="I134" s="914">
        <v>84</v>
      </c>
      <c r="J134" s="1022">
        <v>5</v>
      </c>
      <c r="K134" s="1022"/>
      <c r="L134" s="1022">
        <v>1</v>
      </c>
      <c r="M134" s="1022"/>
      <c r="N134" s="914">
        <v>6</v>
      </c>
      <c r="O134" s="914">
        <v>86</v>
      </c>
      <c r="P134" s="1022">
        <v>50</v>
      </c>
      <c r="Q134" s="1022">
        <v>53</v>
      </c>
      <c r="R134" s="1022">
        <v>15</v>
      </c>
      <c r="S134" s="1022">
        <v>15</v>
      </c>
      <c r="T134" s="1022">
        <v>83</v>
      </c>
    </row>
    <row r="135" spans="1:20" x14ac:dyDescent="0.25">
      <c r="A135" s="962" t="s">
        <v>952</v>
      </c>
      <c r="B135" s="1037">
        <v>3</v>
      </c>
      <c r="C135" s="1037">
        <v>1</v>
      </c>
      <c r="D135" s="1038"/>
      <c r="E135" s="1037">
        <v>6</v>
      </c>
      <c r="F135" s="1037">
        <v>4</v>
      </c>
      <c r="G135" s="1038"/>
      <c r="H135" s="1037">
        <v>4</v>
      </c>
      <c r="I135" s="921">
        <v>15</v>
      </c>
      <c r="J135" s="1037"/>
      <c r="K135" s="1037"/>
      <c r="L135" s="1037"/>
      <c r="M135" s="1037"/>
      <c r="N135" s="921"/>
      <c r="O135" s="922">
        <v>15</v>
      </c>
      <c r="P135" s="1037">
        <v>11</v>
      </c>
      <c r="Q135" s="1037">
        <v>4</v>
      </c>
      <c r="R135" s="1037">
        <v>2</v>
      </c>
      <c r="S135" s="1037">
        <v>9</v>
      </c>
      <c r="T135" s="1026">
        <v>15</v>
      </c>
    </row>
    <row r="136" spans="1:20" x14ac:dyDescent="0.25">
      <c r="A136" s="962" t="s">
        <v>953</v>
      </c>
      <c r="B136" s="1037">
        <v>16</v>
      </c>
      <c r="C136" s="1037">
        <v>14</v>
      </c>
      <c r="D136" s="1038">
        <v>3</v>
      </c>
      <c r="E136" s="1037">
        <v>15</v>
      </c>
      <c r="F136" s="1037">
        <v>1</v>
      </c>
      <c r="G136" s="1038"/>
      <c r="H136" s="1037">
        <v>4</v>
      </c>
      <c r="I136" s="921">
        <v>45</v>
      </c>
      <c r="J136" s="1037">
        <v>3</v>
      </c>
      <c r="K136" s="1037"/>
      <c r="L136" s="1037"/>
      <c r="M136" s="1037"/>
      <c r="N136" s="921">
        <v>3</v>
      </c>
      <c r="O136" s="922">
        <v>46</v>
      </c>
      <c r="P136" s="1037">
        <v>26</v>
      </c>
      <c r="Q136" s="1037">
        <v>34</v>
      </c>
      <c r="R136" s="1037">
        <v>6</v>
      </c>
      <c r="S136" s="1037">
        <v>4</v>
      </c>
      <c r="T136" s="1026">
        <v>44</v>
      </c>
    </row>
    <row r="137" spans="1:20" x14ac:dyDescent="0.25">
      <c r="A137" s="962" t="s">
        <v>954</v>
      </c>
      <c r="B137" s="1037"/>
      <c r="C137" s="1037"/>
      <c r="D137" s="1038"/>
      <c r="E137" s="1037">
        <v>1</v>
      </c>
      <c r="F137" s="1037"/>
      <c r="G137" s="1038"/>
      <c r="H137" s="1037"/>
      <c r="I137" s="921">
        <v>1</v>
      </c>
      <c r="J137" s="1037"/>
      <c r="K137" s="1037"/>
      <c r="L137" s="1037"/>
      <c r="M137" s="1037"/>
      <c r="N137" s="921"/>
      <c r="O137" s="922">
        <v>1</v>
      </c>
      <c r="P137" s="1037"/>
      <c r="Q137" s="1037">
        <v>1</v>
      </c>
      <c r="R137" s="1037"/>
      <c r="S137" s="1037"/>
      <c r="T137" s="1026">
        <v>1</v>
      </c>
    </row>
    <row r="138" spans="1:20" x14ac:dyDescent="0.25">
      <c r="A138" s="962" t="s">
        <v>955</v>
      </c>
      <c r="B138" s="1037">
        <v>4</v>
      </c>
      <c r="C138" s="1037"/>
      <c r="D138" s="1038"/>
      <c r="E138" s="1037">
        <v>2</v>
      </c>
      <c r="F138" s="1037"/>
      <c r="G138" s="1038"/>
      <c r="H138" s="1037"/>
      <c r="I138" s="921">
        <v>6</v>
      </c>
      <c r="J138" s="1037">
        <v>2</v>
      </c>
      <c r="K138" s="1037"/>
      <c r="L138" s="1037"/>
      <c r="M138" s="1037"/>
      <c r="N138" s="921">
        <v>2</v>
      </c>
      <c r="O138" s="922">
        <v>6</v>
      </c>
      <c r="P138" s="1037">
        <v>3</v>
      </c>
      <c r="Q138" s="1037">
        <v>2</v>
      </c>
      <c r="R138" s="1037">
        <v>2</v>
      </c>
      <c r="S138" s="1037">
        <v>2</v>
      </c>
      <c r="T138" s="1026">
        <v>6</v>
      </c>
    </row>
    <row r="139" spans="1:20" x14ac:dyDescent="0.25">
      <c r="A139" s="962" t="s">
        <v>956</v>
      </c>
      <c r="B139" s="1037"/>
      <c r="C139" s="1037"/>
      <c r="D139" s="1038"/>
      <c r="E139" s="1037">
        <v>1</v>
      </c>
      <c r="F139" s="1037"/>
      <c r="G139" s="1038"/>
      <c r="H139" s="1037">
        <v>1</v>
      </c>
      <c r="I139" s="921">
        <v>2</v>
      </c>
      <c r="J139" s="1037"/>
      <c r="K139" s="1037"/>
      <c r="L139" s="1037"/>
      <c r="M139" s="1037"/>
      <c r="N139" s="921"/>
      <c r="O139" s="922">
        <v>2</v>
      </c>
      <c r="P139" s="1037">
        <v>1</v>
      </c>
      <c r="Q139" s="1037">
        <v>2</v>
      </c>
      <c r="R139" s="1037"/>
      <c r="S139" s="1037"/>
      <c r="T139" s="1026">
        <v>2</v>
      </c>
    </row>
    <row r="140" spans="1:20" x14ac:dyDescent="0.25">
      <c r="A140" s="962" t="s">
        <v>957</v>
      </c>
      <c r="B140" s="1037">
        <v>1</v>
      </c>
      <c r="C140" s="1037">
        <v>1</v>
      </c>
      <c r="D140" s="1038"/>
      <c r="E140" s="1037">
        <v>2</v>
      </c>
      <c r="F140" s="1037"/>
      <c r="G140" s="1038"/>
      <c r="H140" s="1037">
        <v>1</v>
      </c>
      <c r="I140" s="921">
        <v>5</v>
      </c>
      <c r="J140" s="1037"/>
      <c r="K140" s="1037"/>
      <c r="L140" s="1037"/>
      <c r="M140" s="1037"/>
      <c r="N140" s="921"/>
      <c r="O140" s="922">
        <v>5</v>
      </c>
      <c r="P140" s="1037">
        <v>2</v>
      </c>
      <c r="Q140" s="1037">
        <v>3</v>
      </c>
      <c r="R140" s="1037">
        <v>2</v>
      </c>
      <c r="S140" s="1037"/>
      <c r="T140" s="1026">
        <v>5</v>
      </c>
    </row>
    <row r="141" spans="1:20" x14ac:dyDescent="0.25">
      <c r="A141" s="962" t="s">
        <v>958</v>
      </c>
      <c r="B141" s="1037">
        <v>1</v>
      </c>
      <c r="C141" s="1037"/>
      <c r="D141" s="1038"/>
      <c r="E141" s="1037">
        <v>3</v>
      </c>
      <c r="F141" s="1037"/>
      <c r="G141" s="1038"/>
      <c r="H141" s="1037"/>
      <c r="I141" s="921">
        <v>4</v>
      </c>
      <c r="J141" s="1037"/>
      <c r="K141" s="1037"/>
      <c r="L141" s="1037"/>
      <c r="M141" s="1037"/>
      <c r="N141" s="921"/>
      <c r="O141" s="922">
        <v>4</v>
      </c>
      <c r="P141" s="1037">
        <v>2</v>
      </c>
      <c r="Q141" s="1037">
        <v>3</v>
      </c>
      <c r="R141" s="1037"/>
      <c r="S141" s="1037"/>
      <c r="T141" s="1026">
        <v>3</v>
      </c>
    </row>
    <row r="142" spans="1:20" x14ac:dyDescent="0.25">
      <c r="A142" s="962" t="s">
        <v>959</v>
      </c>
      <c r="B142" s="1037"/>
      <c r="C142" s="1037"/>
      <c r="D142" s="1038"/>
      <c r="E142" s="1037"/>
      <c r="F142" s="1037"/>
      <c r="G142" s="1038"/>
      <c r="H142" s="1037"/>
      <c r="I142" s="921"/>
      <c r="J142" s="1037"/>
      <c r="K142" s="1037"/>
      <c r="L142" s="1037"/>
      <c r="M142" s="1037"/>
      <c r="N142" s="921"/>
      <c r="O142" s="922"/>
      <c r="P142" s="1037"/>
      <c r="Q142" s="1037"/>
      <c r="R142" s="1037"/>
      <c r="S142" s="1037"/>
      <c r="T142" s="1026"/>
    </row>
    <row r="143" spans="1:20" x14ac:dyDescent="0.25">
      <c r="A143" s="962" t="s">
        <v>960</v>
      </c>
      <c r="B143" s="1037">
        <v>3</v>
      </c>
      <c r="C143" s="1037">
        <v>1</v>
      </c>
      <c r="D143" s="1038"/>
      <c r="E143" s="1037">
        <v>2</v>
      </c>
      <c r="F143" s="1037"/>
      <c r="G143" s="1038"/>
      <c r="H143" s="1037"/>
      <c r="I143" s="921">
        <v>6</v>
      </c>
      <c r="J143" s="1037"/>
      <c r="K143" s="1037"/>
      <c r="L143" s="1037">
        <v>1</v>
      </c>
      <c r="M143" s="1037"/>
      <c r="N143" s="921">
        <v>1</v>
      </c>
      <c r="O143" s="922">
        <v>7</v>
      </c>
      <c r="P143" s="1037">
        <v>5</v>
      </c>
      <c r="Q143" s="1037">
        <v>4</v>
      </c>
      <c r="R143" s="1037">
        <v>3</v>
      </c>
      <c r="S143" s="1037"/>
      <c r="T143" s="1026">
        <v>7</v>
      </c>
    </row>
    <row r="144" spans="1:20" s="948" customFormat="1" ht="15.75" thickBot="1" x14ac:dyDescent="0.3">
      <c r="A144" s="966" t="s">
        <v>116</v>
      </c>
      <c r="B144" s="1027">
        <v>105</v>
      </c>
      <c r="C144" s="1027">
        <v>59</v>
      </c>
      <c r="D144" s="1028">
        <v>5</v>
      </c>
      <c r="E144" s="1027">
        <v>84</v>
      </c>
      <c r="F144" s="1027">
        <v>46</v>
      </c>
      <c r="G144" s="1028">
        <v>1</v>
      </c>
      <c r="H144" s="1027">
        <v>59</v>
      </c>
      <c r="I144" s="1027">
        <v>317</v>
      </c>
      <c r="J144" s="1027">
        <v>13</v>
      </c>
      <c r="K144" s="1027">
        <v>4</v>
      </c>
      <c r="L144" s="1027">
        <v>14</v>
      </c>
      <c r="M144" s="1027">
        <v>2</v>
      </c>
      <c r="N144" s="1027">
        <v>27</v>
      </c>
      <c r="O144" s="1027">
        <v>334</v>
      </c>
      <c r="P144" s="1027">
        <v>232</v>
      </c>
      <c r="Q144" s="1027">
        <v>160</v>
      </c>
      <c r="R144" s="1027">
        <v>102</v>
      </c>
      <c r="S144" s="1027">
        <v>59</v>
      </c>
      <c r="T144" s="1027">
        <v>321</v>
      </c>
    </row>
    <row r="145" spans="1:20" ht="15.75" thickTop="1" x14ac:dyDescent="0.25">
      <c r="A145" s="935" t="s">
        <v>963</v>
      </c>
      <c r="B145" s="1044">
        <v>7</v>
      </c>
      <c r="C145" s="1044">
        <v>3</v>
      </c>
      <c r="D145" s="1045"/>
      <c r="E145" s="1044">
        <v>3</v>
      </c>
      <c r="F145" s="1044">
        <v>10</v>
      </c>
      <c r="G145" s="1045"/>
      <c r="H145" s="1044">
        <v>1</v>
      </c>
      <c r="I145" s="1031">
        <v>19</v>
      </c>
      <c r="J145" s="1044">
        <v>2</v>
      </c>
      <c r="K145" s="1044"/>
      <c r="L145" s="1044">
        <v>2</v>
      </c>
      <c r="M145" s="1044"/>
      <c r="N145" s="1031">
        <v>4</v>
      </c>
      <c r="O145" s="1032">
        <v>22</v>
      </c>
      <c r="P145" s="1044">
        <v>18</v>
      </c>
      <c r="Q145" s="1044">
        <v>2</v>
      </c>
      <c r="R145" s="1044">
        <v>7</v>
      </c>
      <c r="S145" s="1044">
        <v>6</v>
      </c>
      <c r="T145" s="1032">
        <v>15</v>
      </c>
    </row>
    <row r="146" spans="1:20" x14ac:dyDescent="0.25">
      <c r="A146" s="938" t="s">
        <v>964</v>
      </c>
      <c r="B146" s="1037">
        <v>2</v>
      </c>
      <c r="C146" s="1037"/>
      <c r="D146" s="1038"/>
      <c r="E146" s="1037">
        <v>1</v>
      </c>
      <c r="F146" s="1037">
        <v>2</v>
      </c>
      <c r="G146" s="1038"/>
      <c r="H146" s="1037"/>
      <c r="I146" s="936">
        <v>5</v>
      </c>
      <c r="J146" s="1037"/>
      <c r="K146" s="1037">
        <v>1</v>
      </c>
      <c r="L146" s="1037">
        <v>3</v>
      </c>
      <c r="M146" s="1037"/>
      <c r="N146" s="936">
        <v>3</v>
      </c>
      <c r="O146" s="937">
        <v>8</v>
      </c>
      <c r="P146" s="1037">
        <v>8</v>
      </c>
      <c r="Q146" s="1037"/>
      <c r="R146" s="1037">
        <v>1</v>
      </c>
      <c r="S146" s="1037">
        <v>3</v>
      </c>
      <c r="T146" s="937">
        <v>4</v>
      </c>
    </row>
    <row r="147" spans="1:20" x14ac:dyDescent="0.25">
      <c r="A147" s="938" t="s">
        <v>965</v>
      </c>
      <c r="B147" s="1037">
        <v>1</v>
      </c>
      <c r="C147" s="1037"/>
      <c r="D147" s="1038"/>
      <c r="E147" s="1037">
        <v>1</v>
      </c>
      <c r="F147" s="1037">
        <v>2</v>
      </c>
      <c r="G147" s="1038"/>
      <c r="H147" s="1037"/>
      <c r="I147" s="936">
        <v>4</v>
      </c>
      <c r="J147" s="1037">
        <v>1</v>
      </c>
      <c r="K147" s="1037"/>
      <c r="L147" s="1037"/>
      <c r="M147" s="1037"/>
      <c r="N147" s="936">
        <v>1</v>
      </c>
      <c r="O147" s="937">
        <v>4</v>
      </c>
      <c r="P147" s="1037">
        <v>3</v>
      </c>
      <c r="Q147" s="1037">
        <v>1</v>
      </c>
      <c r="R147" s="1037"/>
      <c r="S147" s="1037"/>
      <c r="T147" s="937">
        <v>1</v>
      </c>
    </row>
    <row r="148" spans="1:20" x14ac:dyDescent="0.25">
      <c r="A148" s="938" t="s">
        <v>966</v>
      </c>
      <c r="B148" s="1037">
        <v>2</v>
      </c>
      <c r="C148" s="1037"/>
      <c r="D148" s="1038"/>
      <c r="E148" s="1037">
        <v>1</v>
      </c>
      <c r="F148" s="1037"/>
      <c r="G148" s="1038"/>
      <c r="H148" s="1037">
        <v>1</v>
      </c>
      <c r="I148" s="936">
        <v>3</v>
      </c>
      <c r="J148" s="1037"/>
      <c r="K148" s="1037"/>
      <c r="L148" s="1037"/>
      <c r="M148" s="1037"/>
      <c r="N148" s="936"/>
      <c r="O148" s="937">
        <v>3</v>
      </c>
      <c r="P148" s="1037">
        <v>2</v>
      </c>
      <c r="Q148" s="1037">
        <v>1</v>
      </c>
      <c r="R148" s="1037"/>
      <c r="S148" s="1037">
        <v>1</v>
      </c>
      <c r="T148" s="937">
        <v>2</v>
      </c>
    </row>
    <row r="149" spans="1:20" x14ac:dyDescent="0.25">
      <c r="A149" s="938" t="s">
        <v>967</v>
      </c>
      <c r="B149" s="1037">
        <v>3</v>
      </c>
      <c r="C149" s="1037"/>
      <c r="D149" s="1038"/>
      <c r="E149" s="1037">
        <v>4</v>
      </c>
      <c r="F149" s="1037">
        <v>6</v>
      </c>
      <c r="G149" s="1038">
        <v>1</v>
      </c>
      <c r="H149" s="1037">
        <v>1</v>
      </c>
      <c r="I149" s="936">
        <v>13</v>
      </c>
      <c r="J149" s="1037"/>
      <c r="K149" s="1037">
        <v>1</v>
      </c>
      <c r="L149" s="1037">
        <v>6</v>
      </c>
      <c r="M149" s="1037"/>
      <c r="N149" s="936">
        <v>7</v>
      </c>
      <c r="O149" s="937">
        <v>18</v>
      </c>
      <c r="P149" s="1037">
        <v>13</v>
      </c>
      <c r="Q149" s="1037">
        <v>4</v>
      </c>
      <c r="R149" s="1037">
        <v>5</v>
      </c>
      <c r="S149" s="1037">
        <v>2</v>
      </c>
      <c r="T149" s="937">
        <v>10</v>
      </c>
    </row>
    <row r="150" spans="1:20" x14ac:dyDescent="0.25">
      <c r="A150" s="938" t="s">
        <v>968</v>
      </c>
      <c r="B150" s="1037">
        <v>1</v>
      </c>
      <c r="C150" s="1037"/>
      <c r="D150" s="1038"/>
      <c r="E150" s="1037"/>
      <c r="F150" s="1037">
        <v>2</v>
      </c>
      <c r="G150" s="1038"/>
      <c r="H150" s="1037"/>
      <c r="I150" s="936">
        <v>3</v>
      </c>
      <c r="J150" s="1037"/>
      <c r="K150" s="1037"/>
      <c r="L150" s="1037">
        <v>1</v>
      </c>
      <c r="M150" s="1037">
        <v>1</v>
      </c>
      <c r="N150" s="936">
        <v>2</v>
      </c>
      <c r="O150" s="937">
        <v>5</v>
      </c>
      <c r="P150" s="1037">
        <v>5</v>
      </c>
      <c r="Q150" s="1037">
        <v>1</v>
      </c>
      <c r="R150" s="1037">
        <v>1</v>
      </c>
      <c r="S150" s="1037">
        <v>1</v>
      </c>
      <c r="T150" s="937">
        <v>3</v>
      </c>
    </row>
    <row r="151" spans="1:20" x14ac:dyDescent="0.25">
      <c r="A151" s="938" t="s">
        <v>969</v>
      </c>
      <c r="B151" s="1037"/>
      <c r="C151" s="1037"/>
      <c r="D151" s="1038"/>
      <c r="E151" s="1037"/>
      <c r="F151" s="1037"/>
      <c r="G151" s="1038"/>
      <c r="H151" s="1037"/>
      <c r="I151" s="936"/>
      <c r="J151" s="1037"/>
      <c r="K151" s="1037"/>
      <c r="L151" s="1037"/>
      <c r="M151" s="1037"/>
      <c r="N151" s="936"/>
      <c r="O151" s="937"/>
      <c r="P151" s="1037"/>
      <c r="Q151" s="1037"/>
      <c r="R151" s="1037"/>
      <c r="S151" s="1037"/>
      <c r="T151" s="937"/>
    </row>
    <row r="152" spans="1:20" x14ac:dyDescent="0.25">
      <c r="A152" s="938" t="s">
        <v>970</v>
      </c>
      <c r="B152" s="1037">
        <v>1</v>
      </c>
      <c r="C152" s="1037">
        <v>2</v>
      </c>
      <c r="D152" s="1038"/>
      <c r="E152" s="1037">
        <v>2</v>
      </c>
      <c r="F152" s="1037">
        <v>3</v>
      </c>
      <c r="G152" s="1038"/>
      <c r="H152" s="1037"/>
      <c r="I152" s="936">
        <v>7</v>
      </c>
      <c r="J152" s="1037"/>
      <c r="K152" s="1037"/>
      <c r="L152" s="1037">
        <v>3</v>
      </c>
      <c r="M152" s="1037"/>
      <c r="N152" s="936">
        <v>3</v>
      </c>
      <c r="O152" s="937">
        <v>9</v>
      </c>
      <c r="P152" s="1037">
        <v>8</v>
      </c>
      <c r="Q152" s="1037">
        <v>1</v>
      </c>
      <c r="R152" s="1037">
        <v>1</v>
      </c>
      <c r="S152" s="1037">
        <v>4</v>
      </c>
      <c r="T152" s="937">
        <v>6</v>
      </c>
    </row>
    <row r="153" spans="1:20" x14ac:dyDescent="0.25">
      <c r="A153" s="938" t="s">
        <v>971</v>
      </c>
      <c r="B153" s="1037">
        <v>3</v>
      </c>
      <c r="C153" s="1037"/>
      <c r="D153" s="1038"/>
      <c r="E153" s="1037">
        <v>2</v>
      </c>
      <c r="F153" s="1037">
        <v>4</v>
      </c>
      <c r="G153" s="1038"/>
      <c r="H153" s="1037"/>
      <c r="I153" s="936">
        <v>9</v>
      </c>
      <c r="J153" s="1037">
        <v>1</v>
      </c>
      <c r="K153" s="1037"/>
      <c r="L153" s="1037">
        <v>4</v>
      </c>
      <c r="M153" s="1037"/>
      <c r="N153" s="936">
        <v>5</v>
      </c>
      <c r="O153" s="937">
        <v>13</v>
      </c>
      <c r="P153" s="1037">
        <v>10</v>
      </c>
      <c r="Q153" s="1037"/>
      <c r="R153" s="1037">
        <v>8</v>
      </c>
      <c r="S153" s="1037">
        <v>3</v>
      </c>
      <c r="T153" s="937">
        <v>10</v>
      </c>
    </row>
    <row r="154" spans="1:20" x14ac:dyDescent="0.25">
      <c r="A154" s="938" t="s">
        <v>972</v>
      </c>
      <c r="B154" s="1037">
        <v>17</v>
      </c>
      <c r="C154" s="1037">
        <v>2</v>
      </c>
      <c r="D154" s="1038"/>
      <c r="E154" s="1037">
        <v>11</v>
      </c>
      <c r="F154" s="1037">
        <v>4</v>
      </c>
      <c r="G154" s="1038"/>
      <c r="H154" s="1037">
        <v>1</v>
      </c>
      <c r="I154" s="936">
        <v>33</v>
      </c>
      <c r="J154" s="1037"/>
      <c r="K154" s="1037"/>
      <c r="L154" s="1037">
        <v>1</v>
      </c>
      <c r="M154" s="1037">
        <v>1</v>
      </c>
      <c r="N154" s="936">
        <v>2</v>
      </c>
      <c r="O154" s="937">
        <v>33</v>
      </c>
      <c r="P154" s="1037">
        <v>17</v>
      </c>
      <c r="Q154" s="1037">
        <v>7</v>
      </c>
      <c r="R154" s="1037">
        <v>12</v>
      </c>
      <c r="S154" s="1037">
        <v>12</v>
      </c>
      <c r="T154" s="937">
        <v>31</v>
      </c>
    </row>
    <row r="155" spans="1:20" x14ac:dyDescent="0.25">
      <c r="A155" s="938" t="s">
        <v>973</v>
      </c>
      <c r="B155" s="1037">
        <v>3</v>
      </c>
      <c r="C155" s="1037">
        <v>1</v>
      </c>
      <c r="D155" s="1038"/>
      <c r="E155" s="1037"/>
      <c r="F155" s="1037">
        <v>2</v>
      </c>
      <c r="G155" s="1038"/>
      <c r="H155" s="1037"/>
      <c r="I155" s="936">
        <v>6</v>
      </c>
      <c r="J155" s="1037"/>
      <c r="K155" s="1037"/>
      <c r="L155" s="1037">
        <v>1</v>
      </c>
      <c r="M155" s="1037"/>
      <c r="N155" s="936">
        <v>1</v>
      </c>
      <c r="O155" s="937">
        <v>7</v>
      </c>
      <c r="P155" s="1037">
        <v>6</v>
      </c>
      <c r="Q155" s="1037"/>
      <c r="R155" s="1037">
        <v>2</v>
      </c>
      <c r="S155" s="1037">
        <v>3</v>
      </c>
      <c r="T155" s="937">
        <v>5</v>
      </c>
    </row>
    <row r="156" spans="1:20" x14ac:dyDescent="0.25">
      <c r="A156" s="938" t="s">
        <v>974</v>
      </c>
      <c r="B156" s="1037">
        <v>2</v>
      </c>
      <c r="C156" s="1037"/>
      <c r="D156" s="1038"/>
      <c r="E156" s="1037"/>
      <c r="F156" s="1037"/>
      <c r="G156" s="1038"/>
      <c r="H156" s="1037">
        <v>1</v>
      </c>
      <c r="I156" s="936">
        <v>3</v>
      </c>
      <c r="J156" s="1037"/>
      <c r="K156" s="1037"/>
      <c r="L156" s="1037"/>
      <c r="M156" s="1037"/>
      <c r="N156" s="936"/>
      <c r="O156" s="937">
        <v>3</v>
      </c>
      <c r="P156" s="1037">
        <v>2</v>
      </c>
      <c r="Q156" s="1037">
        <v>2</v>
      </c>
      <c r="R156" s="1037"/>
      <c r="S156" s="1037"/>
      <c r="T156" s="937">
        <v>2</v>
      </c>
    </row>
    <row r="157" spans="1:20" x14ac:dyDescent="0.25">
      <c r="A157" s="938" t="s">
        <v>975</v>
      </c>
      <c r="B157" s="1037">
        <v>2</v>
      </c>
      <c r="C157" s="1037">
        <v>1</v>
      </c>
      <c r="D157" s="1038"/>
      <c r="E157" s="1037">
        <v>3</v>
      </c>
      <c r="F157" s="1037">
        <v>4</v>
      </c>
      <c r="G157" s="1038"/>
      <c r="H157" s="1037"/>
      <c r="I157" s="936">
        <v>6</v>
      </c>
      <c r="J157" s="1037">
        <v>1</v>
      </c>
      <c r="K157" s="1037"/>
      <c r="L157" s="1037">
        <v>3</v>
      </c>
      <c r="M157" s="1037"/>
      <c r="N157" s="936">
        <v>3</v>
      </c>
      <c r="O157" s="937">
        <v>7</v>
      </c>
      <c r="P157" s="1037">
        <v>7</v>
      </c>
      <c r="Q157" s="1037"/>
      <c r="R157" s="1037">
        <v>1</v>
      </c>
      <c r="S157" s="1037">
        <v>4</v>
      </c>
      <c r="T157" s="937">
        <v>5</v>
      </c>
    </row>
    <row r="158" spans="1:20" x14ac:dyDescent="0.25">
      <c r="A158" s="938" t="s">
        <v>976</v>
      </c>
      <c r="B158" s="1037"/>
      <c r="C158" s="1037"/>
      <c r="D158" s="1038"/>
      <c r="E158" s="1037"/>
      <c r="F158" s="1037">
        <v>1</v>
      </c>
      <c r="G158" s="1038"/>
      <c r="H158" s="1037"/>
      <c r="I158" s="936">
        <v>1</v>
      </c>
      <c r="J158" s="1037">
        <v>1</v>
      </c>
      <c r="K158" s="1037"/>
      <c r="L158" s="1037">
        <v>3</v>
      </c>
      <c r="M158" s="1037">
        <v>1</v>
      </c>
      <c r="N158" s="936">
        <v>3</v>
      </c>
      <c r="O158" s="937">
        <v>3</v>
      </c>
      <c r="P158" s="1037">
        <v>3</v>
      </c>
      <c r="Q158" s="1037"/>
      <c r="R158" s="1037"/>
      <c r="S158" s="1037"/>
      <c r="T158" s="937"/>
    </row>
    <row r="159" spans="1:20" x14ac:dyDescent="0.25">
      <c r="A159" s="938" t="s">
        <v>977</v>
      </c>
      <c r="B159" s="1037">
        <v>4</v>
      </c>
      <c r="C159" s="1037">
        <v>4</v>
      </c>
      <c r="D159" s="1038"/>
      <c r="E159" s="1037">
        <v>1</v>
      </c>
      <c r="F159" s="1037">
        <v>6</v>
      </c>
      <c r="G159" s="1038"/>
      <c r="H159" s="1037">
        <v>3</v>
      </c>
      <c r="I159" s="936">
        <v>17</v>
      </c>
      <c r="J159" s="1037">
        <v>1</v>
      </c>
      <c r="K159" s="1037"/>
      <c r="L159" s="1037"/>
      <c r="M159" s="1037"/>
      <c r="N159" s="936">
        <v>1</v>
      </c>
      <c r="O159" s="937">
        <v>18</v>
      </c>
      <c r="P159" s="1037">
        <v>15</v>
      </c>
      <c r="Q159" s="1037">
        <v>6</v>
      </c>
      <c r="R159" s="1037">
        <v>8</v>
      </c>
      <c r="S159" s="1037">
        <v>3</v>
      </c>
      <c r="T159" s="937">
        <v>17</v>
      </c>
    </row>
    <row r="160" spans="1:20" x14ac:dyDescent="0.25">
      <c r="A160" s="910" t="s">
        <v>136</v>
      </c>
      <c r="B160" s="1022">
        <v>13</v>
      </c>
      <c r="C160" s="1022">
        <v>4</v>
      </c>
      <c r="D160" s="1023"/>
      <c r="E160" s="1022">
        <v>9</v>
      </c>
      <c r="F160" s="1022">
        <v>19</v>
      </c>
      <c r="G160" s="1023"/>
      <c r="H160" s="1022">
        <v>3</v>
      </c>
      <c r="I160" s="914">
        <v>45</v>
      </c>
      <c r="J160" s="1022">
        <v>4</v>
      </c>
      <c r="K160" s="1022"/>
      <c r="L160" s="1022">
        <v>18</v>
      </c>
      <c r="M160" s="1022">
        <v>2</v>
      </c>
      <c r="N160" s="914">
        <v>21</v>
      </c>
      <c r="O160" s="914">
        <v>60</v>
      </c>
      <c r="P160" s="1022">
        <v>47</v>
      </c>
      <c r="Q160" s="1022">
        <v>15</v>
      </c>
      <c r="R160" s="1022">
        <v>18</v>
      </c>
      <c r="S160" s="1022">
        <v>15</v>
      </c>
      <c r="T160" s="914">
        <v>48</v>
      </c>
    </row>
    <row r="161" spans="1:20" x14ac:dyDescent="0.25">
      <c r="A161" s="939" t="s">
        <v>978</v>
      </c>
      <c r="B161" s="1037"/>
      <c r="C161" s="1037"/>
      <c r="D161" s="1038"/>
      <c r="E161" s="1037"/>
      <c r="F161" s="1037"/>
      <c r="G161" s="1038"/>
      <c r="H161" s="1037"/>
      <c r="I161" s="936"/>
      <c r="J161" s="1037">
        <v>1</v>
      </c>
      <c r="K161" s="1037"/>
      <c r="L161" s="1037"/>
      <c r="M161" s="1037"/>
      <c r="N161" s="936">
        <v>1</v>
      </c>
      <c r="O161" s="937">
        <v>1</v>
      </c>
      <c r="P161" s="1037">
        <v>1</v>
      </c>
      <c r="Q161" s="1037">
        <v>1</v>
      </c>
      <c r="R161" s="1037"/>
      <c r="S161" s="1037"/>
      <c r="T161" s="937">
        <v>1</v>
      </c>
    </row>
    <row r="162" spans="1:20" x14ac:dyDescent="0.25">
      <c r="A162" s="939" t="s">
        <v>979</v>
      </c>
      <c r="B162" s="1037"/>
      <c r="C162" s="1037"/>
      <c r="D162" s="1038"/>
      <c r="E162" s="1037"/>
      <c r="F162" s="1037"/>
      <c r="G162" s="1038"/>
      <c r="H162" s="1037"/>
      <c r="I162" s="936"/>
      <c r="J162" s="1037"/>
      <c r="K162" s="1037"/>
      <c r="L162" s="1037"/>
      <c r="M162" s="1037"/>
      <c r="N162" s="936"/>
      <c r="O162" s="937"/>
      <c r="P162" s="1037"/>
      <c r="Q162" s="1037"/>
      <c r="R162" s="1037"/>
      <c r="S162" s="1037"/>
      <c r="T162" s="937"/>
    </row>
    <row r="163" spans="1:20" x14ac:dyDescent="0.25">
      <c r="A163" s="939" t="s">
        <v>980</v>
      </c>
      <c r="B163" s="1037"/>
      <c r="C163" s="1037">
        <v>1</v>
      </c>
      <c r="D163" s="1038"/>
      <c r="E163" s="1037">
        <v>2</v>
      </c>
      <c r="F163" s="1037">
        <v>1</v>
      </c>
      <c r="G163" s="1038"/>
      <c r="H163" s="1037"/>
      <c r="I163" s="936">
        <v>3</v>
      </c>
      <c r="J163" s="1037"/>
      <c r="K163" s="1037"/>
      <c r="L163" s="1037"/>
      <c r="M163" s="1037"/>
      <c r="N163" s="936"/>
      <c r="O163" s="937">
        <v>3</v>
      </c>
      <c r="P163" s="1037">
        <v>2</v>
      </c>
      <c r="Q163" s="1037">
        <v>1</v>
      </c>
      <c r="R163" s="1037">
        <v>2</v>
      </c>
      <c r="S163" s="1037"/>
      <c r="T163" s="937">
        <v>3</v>
      </c>
    </row>
    <row r="164" spans="1:20" x14ac:dyDescent="0.25">
      <c r="A164" s="939" t="s">
        <v>981</v>
      </c>
      <c r="B164" s="1037"/>
      <c r="C164" s="1037"/>
      <c r="D164" s="1038"/>
      <c r="E164" s="1037"/>
      <c r="F164" s="1037"/>
      <c r="G164" s="1038"/>
      <c r="H164" s="1037"/>
      <c r="I164" s="936"/>
      <c r="J164" s="1037"/>
      <c r="K164" s="1037"/>
      <c r="L164" s="1037">
        <v>1</v>
      </c>
      <c r="M164" s="1037">
        <v>1</v>
      </c>
      <c r="N164" s="936">
        <v>2</v>
      </c>
      <c r="O164" s="937">
        <v>2</v>
      </c>
      <c r="P164" s="1037">
        <v>2</v>
      </c>
      <c r="Q164" s="1037"/>
      <c r="R164" s="1037">
        <v>1</v>
      </c>
      <c r="S164" s="1037"/>
      <c r="T164" s="937">
        <v>1</v>
      </c>
    </row>
    <row r="165" spans="1:20" x14ac:dyDescent="0.25">
      <c r="A165" s="939" t="s">
        <v>982</v>
      </c>
      <c r="B165" s="1037"/>
      <c r="C165" s="1037"/>
      <c r="D165" s="1038"/>
      <c r="E165" s="1037"/>
      <c r="F165" s="1037"/>
      <c r="G165" s="1038"/>
      <c r="H165" s="1037"/>
      <c r="I165" s="936"/>
      <c r="J165" s="1037"/>
      <c r="K165" s="1037"/>
      <c r="L165" s="1037"/>
      <c r="M165" s="1037"/>
      <c r="N165" s="936"/>
      <c r="O165" s="937"/>
      <c r="P165" s="1037"/>
      <c r="Q165" s="1037"/>
      <c r="R165" s="1037"/>
      <c r="S165" s="1037"/>
      <c r="T165" s="937"/>
    </row>
    <row r="166" spans="1:20" x14ac:dyDescent="0.25">
      <c r="A166" s="939" t="s">
        <v>983</v>
      </c>
      <c r="B166" s="1037">
        <v>1</v>
      </c>
      <c r="C166" s="1037">
        <v>1</v>
      </c>
      <c r="D166" s="1038"/>
      <c r="E166" s="1037">
        <v>4</v>
      </c>
      <c r="F166" s="1037">
        <v>3</v>
      </c>
      <c r="G166" s="1038"/>
      <c r="H166" s="1037"/>
      <c r="I166" s="936">
        <v>8</v>
      </c>
      <c r="J166" s="1037"/>
      <c r="K166" s="1037"/>
      <c r="L166" s="1037">
        <v>5</v>
      </c>
      <c r="M166" s="1037"/>
      <c r="N166" s="936">
        <v>5</v>
      </c>
      <c r="O166" s="937">
        <v>11</v>
      </c>
      <c r="P166" s="1037">
        <v>7</v>
      </c>
      <c r="Q166" s="1037">
        <v>2</v>
      </c>
      <c r="R166" s="1037">
        <v>4</v>
      </c>
      <c r="S166" s="1037">
        <v>3</v>
      </c>
      <c r="T166" s="937">
        <v>9</v>
      </c>
    </row>
    <row r="167" spans="1:20" x14ac:dyDescent="0.25">
      <c r="A167" s="939" t="s">
        <v>984</v>
      </c>
      <c r="B167" s="1037"/>
      <c r="C167" s="1037"/>
      <c r="D167" s="1038"/>
      <c r="E167" s="1037">
        <v>1</v>
      </c>
      <c r="F167" s="1037"/>
      <c r="G167" s="1038"/>
      <c r="H167" s="1037"/>
      <c r="I167" s="936">
        <v>1</v>
      </c>
      <c r="J167" s="1037"/>
      <c r="K167" s="1037"/>
      <c r="L167" s="1037"/>
      <c r="M167" s="1037"/>
      <c r="N167" s="936"/>
      <c r="O167" s="937">
        <v>1</v>
      </c>
      <c r="P167" s="1037"/>
      <c r="Q167" s="1037"/>
      <c r="R167" s="1037">
        <v>1</v>
      </c>
      <c r="S167" s="1037"/>
      <c r="T167" s="937">
        <v>1</v>
      </c>
    </row>
    <row r="168" spans="1:20" x14ac:dyDescent="0.25">
      <c r="A168" s="939" t="s">
        <v>985</v>
      </c>
      <c r="B168" s="1037">
        <v>1</v>
      </c>
      <c r="C168" s="1037"/>
      <c r="D168" s="1038"/>
      <c r="E168" s="1037"/>
      <c r="F168" s="1037"/>
      <c r="G168" s="1038"/>
      <c r="H168" s="1037"/>
      <c r="I168" s="936">
        <v>1</v>
      </c>
      <c r="J168" s="1037"/>
      <c r="K168" s="1037"/>
      <c r="L168" s="1037">
        <v>1</v>
      </c>
      <c r="M168" s="1037"/>
      <c r="N168" s="936">
        <v>1</v>
      </c>
      <c r="O168" s="937">
        <v>2</v>
      </c>
      <c r="P168" s="1037">
        <v>1</v>
      </c>
      <c r="Q168" s="1037">
        <v>1</v>
      </c>
      <c r="R168" s="1037"/>
      <c r="S168" s="1037">
        <v>1</v>
      </c>
      <c r="T168" s="937">
        <v>2</v>
      </c>
    </row>
    <row r="169" spans="1:20" x14ac:dyDescent="0.25">
      <c r="A169" s="939" t="s">
        <v>986</v>
      </c>
      <c r="B169" s="1037"/>
      <c r="C169" s="1037"/>
      <c r="D169" s="1038"/>
      <c r="E169" s="1037"/>
      <c r="F169" s="1037">
        <v>1</v>
      </c>
      <c r="G169" s="1038"/>
      <c r="H169" s="1037"/>
      <c r="I169" s="936">
        <v>1</v>
      </c>
      <c r="J169" s="1037"/>
      <c r="K169" s="1037"/>
      <c r="L169" s="1037">
        <v>1</v>
      </c>
      <c r="M169" s="1037"/>
      <c r="N169" s="936">
        <v>1</v>
      </c>
      <c r="O169" s="937">
        <v>2</v>
      </c>
      <c r="P169" s="1037">
        <v>2</v>
      </c>
      <c r="Q169" s="1037"/>
      <c r="R169" s="1037"/>
      <c r="S169" s="1037">
        <v>1</v>
      </c>
      <c r="T169" s="937">
        <v>1</v>
      </c>
    </row>
    <row r="170" spans="1:20" x14ac:dyDescent="0.25">
      <c r="A170" s="939" t="s">
        <v>987</v>
      </c>
      <c r="B170" s="1037"/>
      <c r="C170" s="1037"/>
      <c r="D170" s="1038"/>
      <c r="E170" s="1037"/>
      <c r="F170" s="1037"/>
      <c r="G170" s="1038"/>
      <c r="H170" s="1037"/>
      <c r="I170" s="936"/>
      <c r="J170" s="1037"/>
      <c r="K170" s="1037"/>
      <c r="L170" s="1037"/>
      <c r="M170" s="1037"/>
      <c r="N170" s="936"/>
      <c r="O170" s="937"/>
      <c r="P170" s="1037"/>
      <c r="Q170" s="1037"/>
      <c r="R170" s="1037"/>
      <c r="S170" s="1037"/>
      <c r="T170" s="937"/>
    </row>
    <row r="171" spans="1:20" x14ac:dyDescent="0.25">
      <c r="A171" s="939" t="s">
        <v>988</v>
      </c>
      <c r="B171" s="1037">
        <v>6</v>
      </c>
      <c r="C171" s="1037">
        <v>1</v>
      </c>
      <c r="D171" s="1038"/>
      <c r="E171" s="1037"/>
      <c r="F171" s="1037">
        <v>6</v>
      </c>
      <c r="G171" s="1038"/>
      <c r="H171" s="1037"/>
      <c r="I171" s="936">
        <v>13</v>
      </c>
      <c r="J171" s="1037">
        <v>2</v>
      </c>
      <c r="K171" s="1037"/>
      <c r="L171" s="1037">
        <v>6</v>
      </c>
      <c r="M171" s="1037"/>
      <c r="N171" s="936">
        <v>7</v>
      </c>
      <c r="O171" s="937">
        <v>17</v>
      </c>
      <c r="P171" s="1037">
        <v>15</v>
      </c>
      <c r="Q171" s="1037">
        <v>4</v>
      </c>
      <c r="R171" s="1037">
        <v>4</v>
      </c>
      <c r="S171" s="1037">
        <v>6</v>
      </c>
      <c r="T171" s="937">
        <v>14</v>
      </c>
    </row>
    <row r="172" spans="1:20" x14ac:dyDescent="0.25">
      <c r="A172" s="939" t="s">
        <v>989</v>
      </c>
      <c r="B172" s="1037">
        <v>3</v>
      </c>
      <c r="C172" s="1037"/>
      <c r="D172" s="1038"/>
      <c r="E172" s="1037"/>
      <c r="F172" s="1037">
        <v>1</v>
      </c>
      <c r="G172" s="1038"/>
      <c r="H172" s="1037">
        <v>1</v>
      </c>
      <c r="I172" s="936">
        <v>5</v>
      </c>
      <c r="J172" s="1037"/>
      <c r="K172" s="1037"/>
      <c r="L172" s="1037"/>
      <c r="M172" s="1037"/>
      <c r="N172" s="936"/>
      <c r="O172" s="937">
        <v>5</v>
      </c>
      <c r="P172" s="1037">
        <v>5</v>
      </c>
      <c r="Q172" s="1037">
        <v>2</v>
      </c>
      <c r="R172" s="1037">
        <v>2</v>
      </c>
      <c r="S172" s="1037">
        <v>1</v>
      </c>
      <c r="T172" s="937">
        <v>5</v>
      </c>
    </row>
    <row r="173" spans="1:20" x14ac:dyDescent="0.25">
      <c r="A173" s="939" t="s">
        <v>990</v>
      </c>
      <c r="B173" s="1037"/>
      <c r="C173" s="1037"/>
      <c r="D173" s="1038"/>
      <c r="E173" s="1037"/>
      <c r="F173" s="1037"/>
      <c r="G173" s="1038"/>
      <c r="H173" s="1037"/>
      <c r="I173" s="936"/>
      <c r="J173" s="1037"/>
      <c r="K173" s="1037"/>
      <c r="L173" s="1037"/>
      <c r="M173" s="1037"/>
      <c r="N173" s="936"/>
      <c r="O173" s="937"/>
      <c r="P173" s="1037"/>
      <c r="Q173" s="1037"/>
      <c r="R173" s="1037"/>
      <c r="S173" s="1037"/>
      <c r="T173" s="937"/>
    </row>
    <row r="174" spans="1:20" x14ac:dyDescent="0.25">
      <c r="A174" s="939" t="s">
        <v>991</v>
      </c>
      <c r="B174" s="1037"/>
      <c r="C174" s="1037"/>
      <c r="D174" s="1038"/>
      <c r="E174" s="1037"/>
      <c r="F174" s="1037"/>
      <c r="G174" s="1038"/>
      <c r="H174" s="1037"/>
      <c r="I174" s="936"/>
      <c r="J174" s="1037"/>
      <c r="K174" s="1037"/>
      <c r="L174" s="1037"/>
      <c r="M174" s="1037"/>
      <c r="N174" s="936"/>
      <c r="O174" s="937"/>
      <c r="P174" s="1037"/>
      <c r="Q174" s="1037"/>
      <c r="R174" s="1037"/>
      <c r="S174" s="1037"/>
      <c r="T174" s="937"/>
    </row>
    <row r="175" spans="1:20" x14ac:dyDescent="0.25">
      <c r="A175" s="939" t="s">
        <v>992</v>
      </c>
      <c r="B175" s="1037">
        <v>1</v>
      </c>
      <c r="C175" s="1037"/>
      <c r="D175" s="1038"/>
      <c r="E175" s="1037">
        <v>1</v>
      </c>
      <c r="F175" s="1037">
        <v>1</v>
      </c>
      <c r="G175" s="1038"/>
      <c r="H175" s="1037"/>
      <c r="I175" s="936">
        <v>3</v>
      </c>
      <c r="J175" s="1037"/>
      <c r="K175" s="1037"/>
      <c r="L175" s="1037">
        <v>2</v>
      </c>
      <c r="M175" s="1037"/>
      <c r="N175" s="936">
        <v>2</v>
      </c>
      <c r="O175" s="937">
        <v>5</v>
      </c>
      <c r="P175" s="1037">
        <v>4</v>
      </c>
      <c r="Q175" s="1037">
        <v>1</v>
      </c>
      <c r="R175" s="1037">
        <v>2</v>
      </c>
      <c r="S175" s="1037"/>
      <c r="T175" s="937">
        <v>3</v>
      </c>
    </row>
    <row r="176" spans="1:20" x14ac:dyDescent="0.25">
      <c r="A176" s="939" t="s">
        <v>993</v>
      </c>
      <c r="B176" s="1037"/>
      <c r="C176" s="1037"/>
      <c r="D176" s="1038"/>
      <c r="E176" s="1037"/>
      <c r="F176" s="1037"/>
      <c r="G176" s="1038"/>
      <c r="H176" s="1037"/>
      <c r="I176" s="936"/>
      <c r="J176" s="1037"/>
      <c r="K176" s="1037"/>
      <c r="L176" s="1037"/>
      <c r="M176" s="1037"/>
      <c r="N176" s="936"/>
      <c r="O176" s="937"/>
      <c r="P176" s="1037"/>
      <c r="Q176" s="1037"/>
      <c r="R176" s="1037"/>
      <c r="S176" s="1037"/>
      <c r="T176" s="937"/>
    </row>
    <row r="177" spans="1:20" x14ac:dyDescent="0.25">
      <c r="A177" s="939" t="s">
        <v>994</v>
      </c>
      <c r="B177" s="1037">
        <v>1</v>
      </c>
      <c r="C177" s="1037">
        <v>1</v>
      </c>
      <c r="D177" s="1038"/>
      <c r="E177" s="1037">
        <v>1</v>
      </c>
      <c r="F177" s="1037">
        <v>6</v>
      </c>
      <c r="G177" s="1038"/>
      <c r="H177" s="1037">
        <v>2</v>
      </c>
      <c r="I177" s="936">
        <v>10</v>
      </c>
      <c r="J177" s="1037">
        <v>1</v>
      </c>
      <c r="K177" s="1037"/>
      <c r="L177" s="1037">
        <v>2</v>
      </c>
      <c r="M177" s="1037">
        <v>1</v>
      </c>
      <c r="N177" s="936">
        <v>2</v>
      </c>
      <c r="O177" s="937">
        <v>11</v>
      </c>
      <c r="P177" s="1037">
        <v>8</v>
      </c>
      <c r="Q177" s="1037">
        <v>3</v>
      </c>
      <c r="R177" s="1037">
        <v>2</v>
      </c>
      <c r="S177" s="1037">
        <v>3</v>
      </c>
      <c r="T177" s="937">
        <v>8</v>
      </c>
    </row>
    <row r="178" spans="1:20" x14ac:dyDescent="0.25">
      <c r="A178" s="939" t="s">
        <v>995</v>
      </c>
      <c r="B178" s="1037"/>
      <c r="C178" s="1037"/>
      <c r="D178" s="1038"/>
      <c r="E178" s="1037"/>
      <c r="F178" s="1037"/>
      <c r="G178" s="1038"/>
      <c r="H178" s="1037"/>
      <c r="I178" s="936"/>
      <c r="J178" s="1037"/>
      <c r="K178" s="1037"/>
      <c r="L178" s="1037"/>
      <c r="M178" s="1037"/>
      <c r="N178" s="936"/>
      <c r="O178" s="937"/>
      <c r="P178" s="1037"/>
      <c r="Q178" s="1037"/>
      <c r="R178" s="1037"/>
      <c r="S178" s="1037"/>
      <c r="T178" s="937"/>
    </row>
    <row r="179" spans="1:20" s="948" customFormat="1" x14ac:dyDescent="0.25">
      <c r="A179" s="910" t="s">
        <v>137</v>
      </c>
      <c r="B179" s="914">
        <v>61</v>
      </c>
      <c r="C179" s="914">
        <v>17</v>
      </c>
      <c r="D179" s="1035"/>
      <c r="E179" s="914">
        <v>38</v>
      </c>
      <c r="F179" s="914">
        <v>65</v>
      </c>
      <c r="G179" s="1035">
        <v>1</v>
      </c>
      <c r="H179" s="914">
        <v>11</v>
      </c>
      <c r="I179" s="914">
        <v>174</v>
      </c>
      <c r="J179" s="914">
        <v>11</v>
      </c>
      <c r="K179" s="914">
        <v>2</v>
      </c>
      <c r="L179" s="914">
        <v>45</v>
      </c>
      <c r="M179" s="914">
        <v>5</v>
      </c>
      <c r="N179" s="914">
        <v>56</v>
      </c>
      <c r="O179" s="914">
        <v>213</v>
      </c>
      <c r="P179" s="914">
        <v>164</v>
      </c>
      <c r="Q179" s="914">
        <v>40</v>
      </c>
      <c r="R179" s="914">
        <v>64</v>
      </c>
      <c r="S179" s="914">
        <v>57</v>
      </c>
      <c r="T179" s="914">
        <v>159</v>
      </c>
    </row>
    <row r="180" spans="1:20" s="948" customFormat="1" x14ac:dyDescent="0.25">
      <c r="A180" s="960" t="s">
        <v>996</v>
      </c>
      <c r="B180" s="932">
        <v>166</v>
      </c>
      <c r="C180" s="932">
        <v>76</v>
      </c>
      <c r="D180" s="1036">
        <v>5</v>
      </c>
      <c r="E180" s="932">
        <v>122</v>
      </c>
      <c r="F180" s="932">
        <v>111</v>
      </c>
      <c r="G180" s="1036">
        <v>2</v>
      </c>
      <c r="H180" s="932">
        <v>70</v>
      </c>
      <c r="I180" s="932">
        <v>491</v>
      </c>
      <c r="J180" s="932">
        <v>24</v>
      </c>
      <c r="K180" s="932">
        <v>6</v>
      </c>
      <c r="L180" s="932">
        <v>59</v>
      </c>
      <c r="M180" s="932">
        <v>7</v>
      </c>
      <c r="N180" s="932">
        <v>83</v>
      </c>
      <c r="O180" s="932">
        <v>547</v>
      </c>
      <c r="P180" s="932">
        <v>396</v>
      </c>
      <c r="Q180" s="932">
        <v>200</v>
      </c>
      <c r="R180" s="932">
        <v>166</v>
      </c>
      <c r="S180" s="932">
        <v>116</v>
      </c>
      <c r="T180" s="932">
        <v>480</v>
      </c>
    </row>
    <row r="183" spans="1:20" ht="18.75" x14ac:dyDescent="0.25">
      <c r="A183" s="1056" t="s">
        <v>1001</v>
      </c>
      <c r="B183" s="1057"/>
      <c r="C183" s="1057"/>
      <c r="D183" s="1057"/>
      <c r="E183" s="1057"/>
      <c r="F183" s="1057"/>
      <c r="G183" s="1057"/>
      <c r="H183" s="1057"/>
      <c r="I183" s="1057"/>
      <c r="J183" s="1057"/>
      <c r="K183" s="1057"/>
      <c r="L183" s="1057"/>
      <c r="M183" s="1057"/>
      <c r="N183" s="1057"/>
      <c r="O183" s="1057"/>
      <c r="P183" s="1057"/>
      <c r="Q183" s="1057"/>
      <c r="R183" s="1057"/>
      <c r="S183" s="1057"/>
      <c r="T183" s="1058"/>
    </row>
    <row r="184" spans="1:20" s="909" customFormat="1" x14ac:dyDescent="0.25">
      <c r="A184" s="1059" t="s">
        <v>493</v>
      </c>
      <c r="B184" s="1061" t="s">
        <v>1051</v>
      </c>
      <c r="C184" s="1062"/>
      <c r="D184" s="1062"/>
      <c r="E184" s="1062"/>
      <c r="F184" s="1062"/>
      <c r="G184" s="1062"/>
      <c r="H184" s="1062"/>
      <c r="I184" s="1063"/>
      <c r="J184" s="1064" t="s">
        <v>1052</v>
      </c>
      <c r="K184" s="1065"/>
      <c r="L184" s="1065"/>
      <c r="M184" s="1065"/>
      <c r="N184" s="1066"/>
      <c r="O184" s="1067" t="s">
        <v>1053</v>
      </c>
      <c r="P184" s="1068"/>
      <c r="Q184" s="1068"/>
      <c r="R184" s="1068"/>
      <c r="S184" s="1068"/>
      <c r="T184" s="1069"/>
    </row>
    <row r="185" spans="1:20" ht="60" x14ac:dyDescent="0.25">
      <c r="A185" s="1060"/>
      <c r="B185" s="951" t="s">
        <v>909</v>
      </c>
      <c r="C185" s="951" t="s">
        <v>882</v>
      </c>
      <c r="D185" s="951" t="s">
        <v>910</v>
      </c>
      <c r="E185" s="951" t="s">
        <v>883</v>
      </c>
      <c r="F185" s="951" t="s">
        <v>911</v>
      </c>
      <c r="G185" s="951" t="s">
        <v>912</v>
      </c>
      <c r="H185" s="951" t="s">
        <v>913</v>
      </c>
      <c r="I185" s="951" t="s">
        <v>914</v>
      </c>
      <c r="J185" s="952" t="s">
        <v>640</v>
      </c>
      <c r="K185" s="952" t="s">
        <v>882</v>
      </c>
      <c r="L185" s="952" t="s">
        <v>885</v>
      </c>
      <c r="M185" s="952" t="s">
        <v>913</v>
      </c>
      <c r="N185" s="952" t="s">
        <v>915</v>
      </c>
      <c r="O185" s="953" t="s">
        <v>139</v>
      </c>
      <c r="P185" s="953" t="s">
        <v>916</v>
      </c>
      <c r="Q185" s="953" t="s">
        <v>917</v>
      </c>
      <c r="R185" s="953" t="s">
        <v>918</v>
      </c>
      <c r="S185" s="953" t="s">
        <v>919</v>
      </c>
      <c r="T185" s="953" t="s">
        <v>920</v>
      </c>
    </row>
    <row r="186" spans="1:20" x14ac:dyDescent="0.25">
      <c r="A186" s="954" t="s">
        <v>1003</v>
      </c>
      <c r="B186" s="1037">
        <v>82</v>
      </c>
      <c r="C186" s="1037">
        <v>53</v>
      </c>
      <c r="D186" s="1038">
        <v>4</v>
      </c>
      <c r="E186" s="1037">
        <v>65</v>
      </c>
      <c r="F186" s="1037">
        <v>35</v>
      </c>
      <c r="G186" s="1038">
        <v>1</v>
      </c>
      <c r="H186" s="1037">
        <v>51</v>
      </c>
      <c r="I186" s="1039">
        <v>257</v>
      </c>
      <c r="J186" s="1037">
        <v>12</v>
      </c>
      <c r="K186" s="1037">
        <v>3</v>
      </c>
      <c r="L186" s="1037">
        <v>14</v>
      </c>
      <c r="M186" s="1037">
        <v>1</v>
      </c>
      <c r="N186" s="1039">
        <v>24</v>
      </c>
      <c r="O186" s="1039">
        <v>271</v>
      </c>
      <c r="P186" s="1037">
        <v>187</v>
      </c>
      <c r="Q186" s="1037">
        <v>141</v>
      </c>
      <c r="R186" s="1037">
        <v>80</v>
      </c>
      <c r="S186" s="1037">
        <v>37</v>
      </c>
      <c r="T186" s="1039">
        <v>258</v>
      </c>
    </row>
    <row r="187" spans="1:20" x14ac:dyDescent="0.25">
      <c r="A187" s="954" t="s">
        <v>1004</v>
      </c>
      <c r="B187" s="1037"/>
      <c r="C187" s="1037"/>
      <c r="D187" s="1038"/>
      <c r="E187" s="1037"/>
      <c r="F187" s="1037"/>
      <c r="G187" s="1038"/>
      <c r="H187" s="1037"/>
      <c r="I187" s="1039"/>
      <c r="J187" s="1037"/>
      <c r="K187" s="1037"/>
      <c r="L187" s="1037"/>
      <c r="M187" s="1037"/>
      <c r="N187" s="1039"/>
      <c r="O187" s="1039"/>
      <c r="P187" s="1037"/>
      <c r="Q187" s="1037"/>
      <c r="R187" s="1037"/>
      <c r="S187" s="1037"/>
      <c r="T187" s="1039"/>
    </row>
    <row r="188" spans="1:20" x14ac:dyDescent="0.25">
      <c r="A188" s="954" t="s">
        <v>1005</v>
      </c>
      <c r="B188" s="1037">
        <v>9</v>
      </c>
      <c r="C188" s="1037">
        <v>4</v>
      </c>
      <c r="D188" s="1038"/>
      <c r="E188" s="1037">
        <v>11</v>
      </c>
      <c r="F188" s="1037">
        <v>9</v>
      </c>
      <c r="G188" s="1038"/>
      <c r="H188" s="1037">
        <v>5</v>
      </c>
      <c r="I188" s="1039">
        <v>34</v>
      </c>
      <c r="J188" s="1037">
        <v>1</v>
      </c>
      <c r="K188" s="1037">
        <v>1</v>
      </c>
      <c r="L188" s="1037"/>
      <c r="M188" s="1037">
        <v>1</v>
      </c>
      <c r="N188" s="1039">
        <v>3</v>
      </c>
      <c r="O188" s="1039">
        <v>37</v>
      </c>
      <c r="P188" s="1037">
        <v>33</v>
      </c>
      <c r="Q188" s="1037">
        <v>3</v>
      </c>
      <c r="R188" s="1037">
        <v>14</v>
      </c>
      <c r="S188" s="1037">
        <v>20</v>
      </c>
      <c r="T188" s="1039">
        <v>37</v>
      </c>
    </row>
    <row r="189" spans="1:20" x14ac:dyDescent="0.25">
      <c r="A189" s="975" t="s">
        <v>1006</v>
      </c>
      <c r="B189" s="1037">
        <v>7</v>
      </c>
      <c r="C189" s="1037"/>
      <c r="D189" s="1038"/>
      <c r="E189" s="1037">
        <v>5</v>
      </c>
      <c r="F189" s="1037"/>
      <c r="G189" s="1038"/>
      <c r="H189" s="1037">
        <v>1</v>
      </c>
      <c r="I189" s="1039">
        <v>13</v>
      </c>
      <c r="J189" s="1037"/>
      <c r="K189" s="1037"/>
      <c r="L189" s="1037"/>
      <c r="M189" s="1037"/>
      <c r="N189" s="1039"/>
      <c r="O189" s="1039">
        <v>13</v>
      </c>
      <c r="P189" s="1037">
        <v>5</v>
      </c>
      <c r="Q189" s="1037">
        <v>12</v>
      </c>
      <c r="R189" s="1037">
        <v>1</v>
      </c>
      <c r="S189" s="1037"/>
      <c r="T189" s="1039">
        <v>13</v>
      </c>
    </row>
    <row r="190" spans="1:20" x14ac:dyDescent="0.25">
      <c r="A190" s="975" t="s">
        <v>1007</v>
      </c>
      <c r="B190" s="1037">
        <v>7</v>
      </c>
      <c r="C190" s="1037">
        <v>2</v>
      </c>
      <c r="D190" s="1038">
        <v>1</v>
      </c>
      <c r="E190" s="1037">
        <v>3</v>
      </c>
      <c r="F190" s="1037">
        <v>2</v>
      </c>
      <c r="G190" s="1038"/>
      <c r="H190" s="1037">
        <v>2</v>
      </c>
      <c r="I190" s="1039">
        <v>13</v>
      </c>
      <c r="J190" s="1037"/>
      <c r="K190" s="1037"/>
      <c r="L190" s="1037"/>
      <c r="M190" s="1037"/>
      <c r="N190" s="1039"/>
      <c r="O190" s="1039">
        <v>13</v>
      </c>
      <c r="P190" s="1037">
        <v>7</v>
      </c>
      <c r="Q190" s="1037">
        <v>4</v>
      </c>
      <c r="R190" s="1037">
        <v>7</v>
      </c>
      <c r="S190" s="1037">
        <v>2</v>
      </c>
      <c r="T190" s="1039">
        <v>13</v>
      </c>
    </row>
    <row r="191" spans="1:20" x14ac:dyDescent="0.25">
      <c r="A191" s="954" t="s">
        <v>1000</v>
      </c>
      <c r="B191" s="1037"/>
      <c r="C191" s="1037"/>
      <c r="D191" s="1038"/>
      <c r="E191" s="1037"/>
      <c r="F191" s="1037"/>
      <c r="G191" s="1038"/>
      <c r="H191" s="1037"/>
      <c r="I191" s="1039"/>
      <c r="J191" s="1037"/>
      <c r="K191" s="1037"/>
      <c r="L191" s="1037"/>
      <c r="M191" s="1037"/>
      <c r="N191" s="1039"/>
      <c r="O191" s="1039"/>
      <c r="P191" s="1037"/>
      <c r="Q191" s="1037"/>
      <c r="R191" s="1037"/>
      <c r="S191" s="1037"/>
      <c r="T191" s="1039"/>
    </row>
    <row r="192" spans="1:20" s="948" customFormat="1" x14ac:dyDescent="0.25">
      <c r="A192" s="957" t="s">
        <v>116</v>
      </c>
      <c r="B192" s="914">
        <v>105</v>
      </c>
      <c r="C192" s="914">
        <v>59</v>
      </c>
      <c r="D192" s="1035">
        <v>5</v>
      </c>
      <c r="E192" s="914">
        <v>84</v>
      </c>
      <c r="F192" s="914">
        <v>46</v>
      </c>
      <c r="G192" s="1035">
        <v>1</v>
      </c>
      <c r="H192" s="914">
        <v>59</v>
      </c>
      <c r="I192" s="1041">
        <v>317</v>
      </c>
      <c r="J192" s="914">
        <v>13</v>
      </c>
      <c r="K192" s="914">
        <v>4</v>
      </c>
      <c r="L192" s="914">
        <v>14</v>
      </c>
      <c r="M192" s="914">
        <v>2</v>
      </c>
      <c r="N192" s="1041">
        <v>27</v>
      </c>
      <c r="O192" s="1041">
        <v>334</v>
      </c>
      <c r="P192" s="914">
        <v>232</v>
      </c>
      <c r="Q192" s="914">
        <v>160</v>
      </c>
      <c r="R192" s="914">
        <v>102</v>
      </c>
      <c r="S192" s="914">
        <v>59</v>
      </c>
      <c r="T192" s="1041">
        <v>321</v>
      </c>
    </row>
    <row r="193" spans="1:20" x14ac:dyDescent="0.25">
      <c r="A193" s="954" t="s">
        <v>1008</v>
      </c>
      <c r="B193" s="1037">
        <v>51</v>
      </c>
      <c r="C193" s="1037">
        <v>15</v>
      </c>
      <c r="D193" s="1038"/>
      <c r="E193" s="1037">
        <v>33</v>
      </c>
      <c r="F193" s="1037">
        <v>55</v>
      </c>
      <c r="G193" s="1038"/>
      <c r="H193" s="1037">
        <v>9</v>
      </c>
      <c r="I193" s="1039">
        <v>148</v>
      </c>
      <c r="J193" s="1037">
        <v>10</v>
      </c>
      <c r="K193" s="1037">
        <v>2</v>
      </c>
      <c r="L193" s="1037">
        <v>34</v>
      </c>
      <c r="M193" s="1037">
        <v>5</v>
      </c>
      <c r="N193" s="1039">
        <v>44</v>
      </c>
      <c r="O193" s="1039">
        <v>177</v>
      </c>
      <c r="P193" s="1037">
        <v>133</v>
      </c>
      <c r="Q193" s="1037">
        <v>36</v>
      </c>
      <c r="R193" s="1037">
        <v>60</v>
      </c>
      <c r="S193" s="1037">
        <v>46</v>
      </c>
      <c r="T193" s="1039">
        <v>140</v>
      </c>
    </row>
    <row r="194" spans="1:20" x14ac:dyDescent="0.25">
      <c r="A194" s="975" t="s">
        <v>1009</v>
      </c>
      <c r="B194" s="1037"/>
      <c r="C194" s="1037"/>
      <c r="D194" s="1038"/>
      <c r="E194" s="1037"/>
      <c r="F194" s="1037"/>
      <c r="G194" s="1038"/>
      <c r="H194" s="1037"/>
      <c r="I194" s="1039"/>
      <c r="J194" s="1037"/>
      <c r="K194" s="1037"/>
      <c r="L194" s="1037"/>
      <c r="M194" s="1037"/>
      <c r="N194" s="1039"/>
      <c r="O194" s="1039"/>
      <c r="P194" s="1037"/>
      <c r="Q194" s="1037"/>
      <c r="R194" s="1037"/>
      <c r="S194" s="1037"/>
      <c r="T194" s="1039"/>
    </row>
    <row r="195" spans="1:20" x14ac:dyDescent="0.25">
      <c r="A195" s="975" t="s">
        <v>1010</v>
      </c>
      <c r="B195" s="1037">
        <v>5</v>
      </c>
      <c r="C195" s="1037">
        <v>2</v>
      </c>
      <c r="D195" s="1038"/>
      <c r="E195" s="1037">
        <v>3</v>
      </c>
      <c r="F195" s="1037">
        <v>9</v>
      </c>
      <c r="G195" s="1038">
        <v>1</v>
      </c>
      <c r="H195" s="1037">
        <v>2</v>
      </c>
      <c r="I195" s="1039">
        <v>18</v>
      </c>
      <c r="J195" s="1037">
        <v>1</v>
      </c>
      <c r="K195" s="1037"/>
      <c r="L195" s="1037">
        <v>11</v>
      </c>
      <c r="M195" s="1037"/>
      <c r="N195" s="1039">
        <v>12</v>
      </c>
      <c r="O195" s="1039">
        <v>28</v>
      </c>
      <c r="P195" s="1037">
        <v>26</v>
      </c>
      <c r="Q195" s="1037">
        <v>1</v>
      </c>
      <c r="R195" s="1037">
        <v>1</v>
      </c>
      <c r="S195" s="1037">
        <v>11</v>
      </c>
      <c r="T195" s="1039">
        <v>13</v>
      </c>
    </row>
    <row r="196" spans="1:20" x14ac:dyDescent="0.25">
      <c r="A196" s="954" t="s">
        <v>1011</v>
      </c>
      <c r="B196" s="1037">
        <v>3</v>
      </c>
      <c r="C196" s="1037"/>
      <c r="D196" s="1038"/>
      <c r="E196" s="1037">
        <v>2</v>
      </c>
      <c r="F196" s="1037"/>
      <c r="G196" s="1038"/>
      <c r="H196" s="1037"/>
      <c r="I196" s="1039">
        <v>5</v>
      </c>
      <c r="J196" s="1037"/>
      <c r="K196" s="1037"/>
      <c r="L196" s="1037"/>
      <c r="M196" s="1037"/>
      <c r="N196" s="1039"/>
      <c r="O196" s="1039">
        <v>5</v>
      </c>
      <c r="P196" s="1037">
        <v>2</v>
      </c>
      <c r="Q196" s="1037">
        <v>2</v>
      </c>
      <c r="R196" s="1037">
        <v>3</v>
      </c>
      <c r="S196" s="1037"/>
      <c r="T196" s="1039">
        <v>5</v>
      </c>
    </row>
    <row r="197" spans="1:20" x14ac:dyDescent="0.25">
      <c r="A197" s="954" t="s">
        <v>1012</v>
      </c>
      <c r="B197" s="1037">
        <v>1</v>
      </c>
      <c r="C197" s="1037"/>
      <c r="D197" s="1038"/>
      <c r="E197" s="1037"/>
      <c r="F197" s="1037">
        <v>1</v>
      </c>
      <c r="G197" s="1038"/>
      <c r="H197" s="1037"/>
      <c r="I197" s="1039">
        <v>2</v>
      </c>
      <c r="J197" s="1037"/>
      <c r="K197" s="1037"/>
      <c r="L197" s="1037"/>
      <c r="M197" s="1037"/>
      <c r="N197" s="1039"/>
      <c r="O197" s="1039">
        <v>2</v>
      </c>
      <c r="P197" s="1037">
        <v>2</v>
      </c>
      <c r="Q197" s="1037">
        <v>1</v>
      </c>
      <c r="R197" s="1037"/>
      <c r="S197" s="1037"/>
      <c r="T197" s="1039">
        <v>1</v>
      </c>
    </row>
    <row r="198" spans="1:20" x14ac:dyDescent="0.25">
      <c r="A198" s="954" t="s">
        <v>1013</v>
      </c>
      <c r="B198" s="1037">
        <v>1</v>
      </c>
      <c r="C198" s="1037"/>
      <c r="D198" s="1038"/>
      <c r="E198" s="1037"/>
      <c r="F198" s="1037"/>
      <c r="G198" s="1038"/>
      <c r="H198" s="1037"/>
      <c r="I198" s="1039">
        <v>1</v>
      </c>
      <c r="J198" s="1037"/>
      <c r="K198" s="1037"/>
      <c r="L198" s="1037"/>
      <c r="M198" s="1037"/>
      <c r="N198" s="1039"/>
      <c r="O198" s="1039">
        <v>1</v>
      </c>
      <c r="P198" s="1037">
        <v>1</v>
      </c>
      <c r="Q198" s="1037"/>
      <c r="R198" s="1037"/>
      <c r="S198" s="1037"/>
      <c r="T198" s="1039"/>
    </row>
    <row r="199" spans="1:20" s="948" customFormat="1" x14ac:dyDescent="0.25">
      <c r="A199" s="957" t="s">
        <v>137</v>
      </c>
      <c r="B199" s="914">
        <v>61</v>
      </c>
      <c r="C199" s="914">
        <v>17</v>
      </c>
      <c r="D199" s="1035"/>
      <c r="E199" s="914">
        <v>38</v>
      </c>
      <c r="F199" s="914">
        <v>65</v>
      </c>
      <c r="G199" s="1035">
        <v>1</v>
      </c>
      <c r="H199" s="914">
        <v>11</v>
      </c>
      <c r="I199" s="1041">
        <v>174</v>
      </c>
      <c r="J199" s="914">
        <v>11</v>
      </c>
      <c r="K199" s="914">
        <v>2</v>
      </c>
      <c r="L199" s="914">
        <v>45</v>
      </c>
      <c r="M199" s="914">
        <v>5</v>
      </c>
      <c r="N199" s="1041">
        <v>56</v>
      </c>
      <c r="O199" s="1041">
        <v>213</v>
      </c>
      <c r="P199" s="914">
        <v>164</v>
      </c>
      <c r="Q199" s="914">
        <v>40</v>
      </c>
      <c r="R199" s="914">
        <v>64</v>
      </c>
      <c r="S199" s="914">
        <v>57</v>
      </c>
      <c r="T199" s="1041">
        <v>159</v>
      </c>
    </row>
    <row r="200" spans="1:20" s="948" customFormat="1" x14ac:dyDescent="0.25">
      <c r="A200" s="960" t="s">
        <v>996</v>
      </c>
      <c r="B200" s="1043">
        <v>166</v>
      </c>
      <c r="C200" s="1043">
        <v>76</v>
      </c>
      <c r="D200" s="1046">
        <v>5</v>
      </c>
      <c r="E200" s="1043">
        <v>122</v>
      </c>
      <c r="F200" s="1043">
        <v>111</v>
      </c>
      <c r="G200" s="1046">
        <v>2</v>
      </c>
      <c r="H200" s="1043">
        <v>70</v>
      </c>
      <c r="I200" s="1043">
        <v>491</v>
      </c>
      <c r="J200" s="1043">
        <v>24</v>
      </c>
      <c r="K200" s="1043">
        <v>6</v>
      </c>
      <c r="L200" s="1043">
        <v>59</v>
      </c>
      <c r="M200" s="1043">
        <v>7</v>
      </c>
      <c r="N200" s="1043">
        <v>83</v>
      </c>
      <c r="O200" s="1043">
        <v>547</v>
      </c>
      <c r="P200" s="1043">
        <v>396</v>
      </c>
      <c r="Q200" s="1043">
        <v>200</v>
      </c>
      <c r="R200" s="1043">
        <v>166</v>
      </c>
      <c r="S200" s="1043">
        <v>116</v>
      </c>
      <c r="T200" s="1043">
        <v>480</v>
      </c>
    </row>
  </sheetData>
  <mergeCells count="20">
    <mergeCell ref="A100:A101"/>
    <mergeCell ref="B100:I100"/>
    <mergeCell ref="J100:N100"/>
    <mergeCell ref="O100:T100"/>
    <mergeCell ref="A1:T1"/>
    <mergeCell ref="A2:A3"/>
    <mergeCell ref="B2:I2"/>
    <mergeCell ref="J2:N2"/>
    <mergeCell ref="O2:T2"/>
    <mergeCell ref="A87:T87"/>
    <mergeCell ref="A88:A89"/>
    <mergeCell ref="B88:I88"/>
    <mergeCell ref="J88:N88"/>
    <mergeCell ref="O88:T88"/>
    <mergeCell ref="A99:T99"/>
    <mergeCell ref="A183:T183"/>
    <mergeCell ref="A184:A185"/>
    <mergeCell ref="B184:I184"/>
    <mergeCell ref="J184:N184"/>
    <mergeCell ref="O184:T184"/>
  </mergeCells>
  <pageMargins left="0.7" right="0.7" top="0.75" bottom="0.75" header="0.3" footer="0.3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I43"/>
  <sheetViews>
    <sheetView workbookViewId="0">
      <selection activeCell="AB15" sqref="AB15"/>
    </sheetView>
  </sheetViews>
  <sheetFormatPr defaultRowHeight="15" x14ac:dyDescent="0.25"/>
  <cols>
    <col min="2" max="2" width="13.28515625" bestFit="1" customWidth="1"/>
  </cols>
  <sheetData>
    <row r="1" spans="2:35" ht="15.75" thickBot="1" x14ac:dyDescent="0.3"/>
    <row r="2" spans="2:35" ht="15.75" thickBot="1" x14ac:dyDescent="0.3">
      <c r="B2" s="140"/>
      <c r="C2" s="173" t="s">
        <v>32</v>
      </c>
      <c r="D2" s="34" t="s">
        <v>0</v>
      </c>
      <c r="E2" s="35" t="s">
        <v>1</v>
      </c>
      <c r="F2" s="35" t="s">
        <v>2</v>
      </c>
      <c r="G2" s="35" t="s">
        <v>3</v>
      </c>
      <c r="H2" s="35" t="s">
        <v>4</v>
      </c>
      <c r="I2" s="35" t="s">
        <v>5</v>
      </c>
      <c r="J2" s="35" t="s">
        <v>6</v>
      </c>
      <c r="K2" s="35" t="s">
        <v>7</v>
      </c>
      <c r="L2" s="31" t="s">
        <v>27</v>
      </c>
      <c r="M2" s="31" t="s">
        <v>9</v>
      </c>
      <c r="N2" s="31" t="s">
        <v>10</v>
      </c>
      <c r="O2" s="174" t="s">
        <v>11</v>
      </c>
      <c r="P2" s="174" t="s">
        <v>12</v>
      </c>
      <c r="Q2" s="3" t="s">
        <v>204</v>
      </c>
      <c r="R2" s="3" t="s">
        <v>14</v>
      </c>
      <c r="S2" s="3" t="s">
        <v>15</v>
      </c>
      <c r="T2" s="3" t="s">
        <v>16</v>
      </c>
      <c r="U2" s="3" t="s">
        <v>17</v>
      </c>
      <c r="V2" s="3" t="s">
        <v>18</v>
      </c>
      <c r="W2" s="3" t="s">
        <v>19</v>
      </c>
      <c r="X2" s="3" t="s">
        <v>20</v>
      </c>
      <c r="Y2" s="3" t="s">
        <v>201</v>
      </c>
      <c r="Z2" s="3" t="s">
        <v>21</v>
      </c>
      <c r="AA2" s="3" t="s">
        <v>22</v>
      </c>
      <c r="AB2" s="3" t="s">
        <v>23</v>
      </c>
      <c r="AC2" s="3" t="s">
        <v>178</v>
      </c>
      <c r="AD2" s="3" t="s">
        <v>179</v>
      </c>
      <c r="AE2" s="3" t="s">
        <v>180</v>
      </c>
      <c r="AF2" s="3" t="s">
        <v>167</v>
      </c>
      <c r="AG2" s="3" t="s">
        <v>181</v>
      </c>
      <c r="AH2" s="3" t="s">
        <v>182</v>
      </c>
      <c r="AI2" s="3" t="s">
        <v>803</v>
      </c>
    </row>
    <row r="3" spans="2:35" ht="15.75" thickBot="1" x14ac:dyDescent="0.3">
      <c r="B3" s="140"/>
      <c r="C3" s="177" t="s">
        <v>205</v>
      </c>
      <c r="D3" s="178">
        <v>332.54899999999998</v>
      </c>
      <c r="E3" s="179">
        <v>336.06400000000002</v>
      </c>
      <c r="F3" s="179">
        <v>349.69499999999999</v>
      </c>
      <c r="G3" s="179">
        <v>310.613</v>
      </c>
      <c r="H3" s="179">
        <v>312.786</v>
      </c>
      <c r="I3" s="179">
        <v>308.18400000000003</v>
      </c>
      <c r="J3" s="179">
        <v>315.42700000000002</v>
      </c>
      <c r="K3" s="179">
        <v>305.62799999999999</v>
      </c>
      <c r="L3" s="179">
        <v>284.17</v>
      </c>
      <c r="M3" s="179">
        <v>301.46699999999998</v>
      </c>
      <c r="N3" s="180">
        <v>314.30500000000001</v>
      </c>
      <c r="O3" s="180">
        <v>331.17099999999999</v>
      </c>
      <c r="P3" s="179">
        <v>314.52800000000002</v>
      </c>
      <c r="Q3" s="179">
        <v>350.202</v>
      </c>
      <c r="R3" s="183">
        <v>373.863</v>
      </c>
      <c r="S3" s="179">
        <v>388.93900000000002</v>
      </c>
      <c r="T3" s="179">
        <v>380</v>
      </c>
      <c r="U3" s="184">
        <v>392.31833999999998</v>
      </c>
      <c r="V3" s="179">
        <v>412.7</v>
      </c>
      <c r="W3" s="179">
        <v>439.25099999999998</v>
      </c>
      <c r="X3" s="179">
        <v>449.166</v>
      </c>
      <c r="Y3" s="260">
        <f>455829/1000</f>
        <v>455.82900000000001</v>
      </c>
      <c r="Z3" s="260">
        <f>469926/1000</f>
        <v>469.92599999999999</v>
      </c>
      <c r="AA3" s="260">
        <f>504384/1000</f>
        <v>504.38400000000001</v>
      </c>
      <c r="AB3" s="260">
        <f>520509/1000</f>
        <v>520.50900000000001</v>
      </c>
      <c r="AC3" s="260">
        <f>525635/1000</f>
        <v>525.63499999999999</v>
      </c>
      <c r="AD3" s="260">
        <f>566110/1000</f>
        <v>566.11</v>
      </c>
      <c r="AE3" s="260">
        <f>616659/1000</f>
        <v>616.65899999999999</v>
      </c>
      <c r="AF3" s="260">
        <f>629163/1000</f>
        <v>629.16300000000001</v>
      </c>
      <c r="AG3" s="260">
        <f>613091/1000</f>
        <v>613.09100000000001</v>
      </c>
      <c r="AH3" s="260">
        <f>655092/1000</f>
        <v>655.09199999999998</v>
      </c>
      <c r="AI3" s="260"/>
    </row>
    <row r="4" spans="2:35" ht="15.75" thickBot="1" x14ac:dyDescent="0.3">
      <c r="C4" s="177" t="s">
        <v>206</v>
      </c>
      <c r="D4" s="185">
        <v>351.96537000000001</v>
      </c>
      <c r="E4" s="186">
        <v>354.83994000000001</v>
      </c>
      <c r="F4" s="186">
        <v>371.57895000000002</v>
      </c>
      <c r="G4" s="186">
        <v>351.37666999999999</v>
      </c>
      <c r="H4" s="186">
        <v>332.86536000000001</v>
      </c>
      <c r="I4" s="186">
        <v>341.21614</v>
      </c>
      <c r="J4" s="186">
        <v>346.96323999999998</v>
      </c>
      <c r="K4" s="186">
        <v>329.39055000000002</v>
      </c>
      <c r="L4" s="186">
        <v>314.77183000000002</v>
      </c>
      <c r="M4" s="186">
        <v>314.77267000000001</v>
      </c>
      <c r="N4" s="186">
        <v>333.16399999999999</v>
      </c>
      <c r="O4" s="186">
        <v>352.96186</v>
      </c>
      <c r="P4" s="186">
        <v>359.98703</v>
      </c>
      <c r="Q4" s="186">
        <v>356.20118000000002</v>
      </c>
      <c r="R4" s="186">
        <v>383.27381000000003</v>
      </c>
      <c r="S4" s="179">
        <v>406.90350000000001</v>
      </c>
      <c r="T4" s="179">
        <v>386.73072000000002</v>
      </c>
      <c r="U4" s="179">
        <v>402.71722999999997</v>
      </c>
      <c r="V4" s="187">
        <v>425.4</v>
      </c>
      <c r="W4" s="188">
        <v>458.03861000000001</v>
      </c>
      <c r="X4" s="188">
        <v>464.16309999999999</v>
      </c>
      <c r="Y4" s="260">
        <v>471.49290999999999</v>
      </c>
      <c r="Z4" s="260">
        <v>490.84996000000001</v>
      </c>
      <c r="AA4" s="260">
        <v>510.30318</v>
      </c>
      <c r="AB4" s="260">
        <v>521.46546000000001</v>
      </c>
      <c r="AC4" s="260">
        <v>525.40295000000003</v>
      </c>
      <c r="AD4" s="260">
        <v>561.93795999999998</v>
      </c>
      <c r="AE4" s="260">
        <v>617.71744999999999</v>
      </c>
      <c r="AF4" s="260">
        <v>627.44686000000002</v>
      </c>
      <c r="AG4" s="260">
        <v>611.14323999999999</v>
      </c>
      <c r="AH4" s="260">
        <v>654.19683999999995</v>
      </c>
      <c r="AI4" s="260"/>
    </row>
    <row r="5" spans="2:35" x14ac:dyDescent="0.25">
      <c r="K5" t="s">
        <v>216</v>
      </c>
      <c r="L5" s="189">
        <f>P3/L3*100-100</f>
        <v>10.683041841151436</v>
      </c>
      <c r="M5" s="190"/>
      <c r="N5" s="190"/>
      <c r="O5" s="190"/>
      <c r="P5" s="189">
        <f>P3/O3*100-100</f>
        <v>-5.025500421232536</v>
      </c>
      <c r="Q5" s="191"/>
      <c r="R5" s="191"/>
      <c r="S5" s="27"/>
      <c r="T5" s="27"/>
      <c r="U5" s="27"/>
      <c r="AH5" s="2">
        <f>AH4-AG4</f>
        <v>43.05359999999996</v>
      </c>
      <c r="AI5" t="s">
        <v>217</v>
      </c>
    </row>
    <row r="6" spans="2:35" x14ac:dyDescent="0.25">
      <c r="K6" t="s">
        <v>219</v>
      </c>
      <c r="L6" s="191">
        <f>P4/L4*100-100</f>
        <v>14.36443661429297</v>
      </c>
      <c r="M6" s="191"/>
      <c r="N6" s="191"/>
      <c r="O6" s="191"/>
      <c r="P6" s="191">
        <f>P4/O4*100-100</f>
        <v>1.9903481922947748</v>
      </c>
      <c r="Q6" s="191"/>
      <c r="R6" s="191"/>
      <c r="S6" s="2"/>
      <c r="T6" s="86"/>
      <c r="U6" s="27"/>
      <c r="V6" s="2"/>
      <c r="AH6" s="191">
        <f>AH4/AG4*100-100</f>
        <v>7.0447641701804571</v>
      </c>
      <c r="AI6" t="s">
        <v>220</v>
      </c>
    </row>
    <row r="7" spans="2:35" x14ac:dyDescent="0.25">
      <c r="AH7" s="86">
        <f>AH3-AG3</f>
        <v>42.000999999999976</v>
      </c>
      <c r="AI7" t="s">
        <v>221</v>
      </c>
    </row>
    <row r="8" spans="2:35" x14ac:dyDescent="0.25">
      <c r="AH8" s="191">
        <f>AH3/AG3*100-100</f>
        <v>6.850695899956122</v>
      </c>
      <c r="AI8" t="s">
        <v>222</v>
      </c>
    </row>
    <row r="9" spans="2:35" x14ac:dyDescent="0.25">
      <c r="AH9" s="2">
        <f>AH4-AD4</f>
        <v>92.258879999999976</v>
      </c>
      <c r="AI9" t="s">
        <v>223</v>
      </c>
    </row>
    <row r="10" spans="2:35" x14ac:dyDescent="0.25">
      <c r="AH10" s="191">
        <f>AH4/AD4*100-100</f>
        <v>16.417983223628468</v>
      </c>
      <c r="AI10" t="s">
        <v>225</v>
      </c>
    </row>
    <row r="11" spans="2:35" x14ac:dyDescent="0.25">
      <c r="AH11" s="86">
        <f>AH3-AD3</f>
        <v>88.981999999999971</v>
      </c>
      <c r="AI11" t="s">
        <v>227</v>
      </c>
    </row>
    <row r="12" spans="2:35" x14ac:dyDescent="0.25">
      <c r="AH12" s="191">
        <f>AH3/AD3*100-100</f>
        <v>15.718146649944359</v>
      </c>
      <c r="AI12" t="s">
        <v>228</v>
      </c>
    </row>
    <row r="13" spans="2:35" x14ac:dyDescent="0.25">
      <c r="AH13" s="191">
        <f>AH3/AH4*100-100</f>
        <v>0.13683343380259316</v>
      </c>
      <c r="AI13" t="s">
        <v>231</v>
      </c>
    </row>
    <row r="31" spans="3:35" ht="15.75" thickBot="1" x14ac:dyDescent="0.3"/>
    <row r="32" spans="3:35" ht="15.75" thickBot="1" x14ac:dyDescent="0.3">
      <c r="C32" s="3" t="s">
        <v>42</v>
      </c>
      <c r="D32" s="34" t="s">
        <v>0</v>
      </c>
      <c r="E32" s="35" t="s">
        <v>1</v>
      </c>
      <c r="F32" s="35" t="s">
        <v>2</v>
      </c>
      <c r="G32" s="35" t="s">
        <v>3</v>
      </c>
      <c r="H32" s="35" t="s">
        <v>4</v>
      </c>
      <c r="I32" s="35" t="s">
        <v>5</v>
      </c>
      <c r="J32" s="35" t="s">
        <v>6</v>
      </c>
      <c r="K32" s="35" t="s">
        <v>7</v>
      </c>
      <c r="L32" s="35" t="s">
        <v>27</v>
      </c>
      <c r="M32" s="35" t="s">
        <v>9</v>
      </c>
      <c r="N32" s="35" t="s">
        <v>10</v>
      </c>
      <c r="O32" s="35" t="s">
        <v>11</v>
      </c>
      <c r="P32" s="35" t="s">
        <v>12</v>
      </c>
      <c r="Q32" s="35" t="s">
        <v>204</v>
      </c>
      <c r="R32" s="35" t="s">
        <v>14</v>
      </c>
      <c r="S32" s="35" t="s">
        <v>15</v>
      </c>
      <c r="T32" s="35" t="s">
        <v>16</v>
      </c>
      <c r="U32" s="35" t="s">
        <v>17</v>
      </c>
      <c r="V32" s="35" t="s">
        <v>18</v>
      </c>
      <c r="W32" s="35" t="s">
        <v>19</v>
      </c>
      <c r="X32" s="35" t="s">
        <v>20</v>
      </c>
      <c r="Y32" s="35" t="s">
        <v>201</v>
      </c>
      <c r="Z32" s="3" t="s">
        <v>21</v>
      </c>
      <c r="AA32" s="3" t="s">
        <v>22</v>
      </c>
      <c r="AB32" s="3" t="s">
        <v>23</v>
      </c>
      <c r="AC32" s="35" t="s">
        <v>178</v>
      </c>
      <c r="AD32" s="35" t="s">
        <v>179</v>
      </c>
      <c r="AE32" s="35" t="s">
        <v>180</v>
      </c>
      <c r="AF32" s="35" t="s">
        <v>167</v>
      </c>
      <c r="AG32" s="35" t="s">
        <v>181</v>
      </c>
      <c r="AH32" s="35" t="s">
        <v>182</v>
      </c>
      <c r="AI32" s="3" t="s">
        <v>803</v>
      </c>
    </row>
    <row r="33" spans="3:35" ht="15.75" thickBot="1" x14ac:dyDescent="0.3">
      <c r="C33" s="177" t="s">
        <v>292</v>
      </c>
      <c r="D33" s="260">
        <v>381.036</v>
      </c>
      <c r="E33" s="260">
        <v>386.89600000000002</v>
      </c>
      <c r="F33" s="260">
        <v>412.786</v>
      </c>
      <c r="G33" s="260">
        <v>418.65300000000002</v>
      </c>
      <c r="H33" s="260">
        <v>388.79399999999998</v>
      </c>
      <c r="I33" s="260">
        <v>378.63900000000001</v>
      </c>
      <c r="J33" s="260">
        <v>422.02100000000002</v>
      </c>
      <c r="K33" s="260">
        <v>455.839</v>
      </c>
      <c r="L33" s="260">
        <v>442.11399999999998</v>
      </c>
      <c r="M33" s="260">
        <v>444.90100000000001</v>
      </c>
      <c r="N33" s="260">
        <v>461.14699999999999</v>
      </c>
      <c r="O33" s="261">
        <v>491.89299999999997</v>
      </c>
      <c r="P33" s="260">
        <v>497.714</v>
      </c>
      <c r="Q33" s="260">
        <v>515.46</v>
      </c>
      <c r="R33" s="260">
        <v>506.084</v>
      </c>
      <c r="S33" s="260">
        <v>541.42999999999995</v>
      </c>
      <c r="T33" s="262">
        <v>539.29999999999995</v>
      </c>
      <c r="U33" s="260">
        <v>553.56083999999998</v>
      </c>
      <c r="V33" s="260">
        <v>525</v>
      </c>
      <c r="W33" s="260">
        <v>593.24400000000003</v>
      </c>
      <c r="X33" s="260">
        <v>610.32000000000005</v>
      </c>
      <c r="Y33" s="260">
        <v>620.64099999999996</v>
      </c>
      <c r="Z33" s="260">
        <v>565.81200000000001</v>
      </c>
      <c r="AA33" s="260">
        <v>609.45500000000004</v>
      </c>
      <c r="AB33" s="260">
        <v>672.40599999999995</v>
      </c>
      <c r="AC33" s="260">
        <v>755.48900000000003</v>
      </c>
      <c r="AD33" s="260">
        <v>655.79499999999996</v>
      </c>
      <c r="AE33" s="260">
        <v>728.24800000000005</v>
      </c>
      <c r="AF33" s="260">
        <v>755.48900000000003</v>
      </c>
      <c r="AG33" s="260">
        <v>735.76400000000001</v>
      </c>
      <c r="AH33" s="260">
        <v>722.54499999999996</v>
      </c>
      <c r="AI33" s="260"/>
    </row>
    <row r="34" spans="3:35" ht="15.75" thickBot="1" x14ac:dyDescent="0.3">
      <c r="C34" s="177" t="s">
        <v>294</v>
      </c>
      <c r="D34" s="185">
        <v>380.59573</v>
      </c>
      <c r="E34" s="186">
        <v>377.43749000000003</v>
      </c>
      <c r="F34" s="186">
        <v>386.44666999999998</v>
      </c>
      <c r="G34" s="186">
        <v>398.72843</v>
      </c>
      <c r="H34" s="186">
        <v>387.74041999999997</v>
      </c>
      <c r="I34" s="186">
        <v>373.88956000000002</v>
      </c>
      <c r="J34" s="186">
        <v>419.99621999999999</v>
      </c>
      <c r="K34" s="186">
        <v>447.26745</v>
      </c>
      <c r="L34" s="186">
        <v>443.12950999999998</v>
      </c>
      <c r="M34" s="186">
        <v>443.13673</v>
      </c>
      <c r="N34" s="186">
        <v>440.39087999999998</v>
      </c>
      <c r="O34" s="186">
        <v>481.72215999999997</v>
      </c>
      <c r="P34" s="186">
        <v>515.46486000000004</v>
      </c>
      <c r="Q34" s="186">
        <v>509.97645999999997</v>
      </c>
      <c r="R34" s="186">
        <v>507.57857999999999</v>
      </c>
      <c r="S34" s="186">
        <v>535.86757</v>
      </c>
      <c r="T34" s="265">
        <v>535.68204000000003</v>
      </c>
      <c r="U34" s="179">
        <v>546.27219000000002</v>
      </c>
      <c r="V34" s="188">
        <v>515.79999999999995</v>
      </c>
      <c r="W34" s="188">
        <v>580.46851000000004</v>
      </c>
      <c r="X34" s="188">
        <v>599.77463999999998</v>
      </c>
      <c r="Y34" s="260">
        <v>600.16881000000001</v>
      </c>
      <c r="Z34" s="260">
        <v>576.16169000000002</v>
      </c>
      <c r="AA34" s="260">
        <v>617.36473999999998</v>
      </c>
      <c r="AB34" s="260">
        <v>684.95189000000005</v>
      </c>
      <c r="AC34" s="260">
        <v>654.19511</v>
      </c>
      <c r="AD34" s="260">
        <v>655.94029</v>
      </c>
      <c r="AE34" s="260">
        <v>729.75048000000004</v>
      </c>
      <c r="AF34" s="260">
        <v>752.68416999999999</v>
      </c>
      <c r="AG34" s="260">
        <v>737.87010999999995</v>
      </c>
      <c r="AH34" s="260">
        <v>716.39517999999998</v>
      </c>
      <c r="AI34" s="260"/>
    </row>
    <row r="35" spans="3:35" x14ac:dyDescent="0.25">
      <c r="K35" t="s">
        <v>216</v>
      </c>
      <c r="L35" s="27">
        <f>P33/L33*100-100</f>
        <v>12.575941951623349</v>
      </c>
      <c r="M35" s="27"/>
      <c r="N35" s="27"/>
      <c r="O35" s="27"/>
      <c r="P35" s="27"/>
      <c r="Q35" s="27"/>
      <c r="R35" s="27"/>
      <c r="S35" s="27"/>
      <c r="T35" s="27"/>
      <c r="U35" s="27"/>
      <c r="V35" s="27"/>
      <c r="AH35" s="27">
        <f>Y34-X34</f>
        <v>0.394170000000031</v>
      </c>
      <c r="AI35" t="s">
        <v>217</v>
      </c>
    </row>
    <row r="36" spans="3:35" x14ac:dyDescent="0.25">
      <c r="K36" t="s">
        <v>219</v>
      </c>
      <c r="L36" s="27">
        <f>P34/L34*100-100</f>
        <v>16.32374923529693</v>
      </c>
      <c r="M36" s="27"/>
      <c r="N36" s="27"/>
      <c r="O36" s="27"/>
      <c r="P36" s="27"/>
      <c r="Q36" s="27"/>
      <c r="R36" s="27"/>
      <c r="T36" s="27"/>
      <c r="U36" s="27"/>
      <c r="V36" s="27"/>
      <c r="AH36" s="27">
        <f>AH34/AG34*100-100</f>
        <v>-2.9103943511141779</v>
      </c>
      <c r="AI36" t="s">
        <v>220</v>
      </c>
    </row>
    <row r="37" spans="3:35" x14ac:dyDescent="0.25">
      <c r="T37" s="27"/>
      <c r="U37" s="27"/>
      <c r="V37" s="27"/>
      <c r="AH37" s="27">
        <f>AH33-AG33</f>
        <v>-13.219000000000051</v>
      </c>
      <c r="AI37" t="s">
        <v>221</v>
      </c>
    </row>
    <row r="38" spans="3:35" ht="18.75" x14ac:dyDescent="0.25">
      <c r="C38" s="274"/>
      <c r="AH38" s="27">
        <f>AH33/AG33*100-100</f>
        <v>-1.7966358778086544</v>
      </c>
      <c r="AI38" t="s">
        <v>222</v>
      </c>
    </row>
    <row r="39" spans="3:35" ht="18.75" x14ac:dyDescent="0.25">
      <c r="C39" s="274"/>
      <c r="U39" s="86"/>
      <c r="V39" s="2"/>
      <c r="Y39" s="27"/>
      <c r="Z39" s="27"/>
      <c r="AA39" s="27"/>
      <c r="AB39" s="27"/>
      <c r="AH39" s="27">
        <f>AH34-AD34</f>
        <v>60.454889999999978</v>
      </c>
      <c r="AI39" t="s">
        <v>223</v>
      </c>
    </row>
    <row r="40" spans="3:35" ht="18.75" x14ac:dyDescent="0.25">
      <c r="C40" s="280"/>
      <c r="U40" s="86"/>
      <c r="V40" s="86"/>
      <c r="Y40" s="27"/>
      <c r="Z40" s="27"/>
      <c r="AA40" s="27"/>
      <c r="AB40" s="27"/>
      <c r="AH40" s="27">
        <f>AH34/AD34*100-100</f>
        <v>9.2165233515385978</v>
      </c>
      <c r="AI40" t="s">
        <v>225</v>
      </c>
    </row>
    <row r="41" spans="3:35" ht="18.75" x14ac:dyDescent="0.25">
      <c r="C41" s="280"/>
      <c r="V41" s="2"/>
      <c r="AH41" s="27">
        <f>AH33-AD33</f>
        <v>66.75</v>
      </c>
      <c r="AI41" t="s">
        <v>227</v>
      </c>
    </row>
    <row r="42" spans="3:35" ht="18.75" x14ac:dyDescent="0.25">
      <c r="C42" s="280"/>
      <c r="V42" s="86"/>
      <c r="AH42" s="27">
        <f>AH33/AD33*100-100</f>
        <v>10.178485654815915</v>
      </c>
      <c r="AI42" t="s">
        <v>228</v>
      </c>
    </row>
    <row r="43" spans="3:35" ht="18.75" x14ac:dyDescent="0.25">
      <c r="C43" s="274"/>
      <c r="AH43" s="27">
        <f>AH33/AH34*100-100</f>
        <v>0.85843961150044379</v>
      </c>
      <c r="AI43" t="s">
        <v>231</v>
      </c>
    </row>
  </sheetData>
  <pageMargins left="0.7" right="0.7" top="0.75" bottom="0.75" header="0.3" footer="0.3"/>
  <pageSetup paperSize="9" orientation="portrait" r:id="rId1"/>
  <drawing r:id="rId2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H43"/>
  <sheetViews>
    <sheetView topLeftCell="N31" workbookViewId="0">
      <selection activeCell="AN52" sqref="AN52"/>
    </sheetView>
  </sheetViews>
  <sheetFormatPr defaultColWidth="9.140625" defaultRowHeight="15" x14ac:dyDescent="0.25"/>
  <cols>
    <col min="2" max="2" width="13.28515625" bestFit="1" customWidth="1"/>
  </cols>
  <sheetData>
    <row r="1" spans="2:34" ht="15.75" thickBot="1" x14ac:dyDescent="0.3"/>
    <row r="2" spans="2:34" ht="15.75" thickBot="1" x14ac:dyDescent="0.3">
      <c r="B2" s="140"/>
      <c r="C2" s="173" t="s">
        <v>794</v>
      </c>
      <c r="D2" s="34" t="s">
        <v>765</v>
      </c>
      <c r="E2" s="35" t="s">
        <v>766</v>
      </c>
      <c r="F2" s="35" t="s">
        <v>764</v>
      </c>
      <c r="G2" s="35" t="s">
        <v>767</v>
      </c>
      <c r="H2" s="35" t="s">
        <v>768</v>
      </c>
      <c r="I2" s="35" t="s">
        <v>769</v>
      </c>
      <c r="J2" s="35" t="s">
        <v>770</v>
      </c>
      <c r="K2" s="35" t="s">
        <v>771</v>
      </c>
      <c r="L2" s="35" t="s">
        <v>772</v>
      </c>
      <c r="M2" s="35" t="s">
        <v>773</v>
      </c>
      <c r="N2" s="35" t="s">
        <v>774</v>
      </c>
      <c r="O2" s="35" t="s">
        <v>775</v>
      </c>
      <c r="P2" s="35" t="s">
        <v>776</v>
      </c>
      <c r="Q2" s="35" t="s">
        <v>777</v>
      </c>
      <c r="R2" s="35" t="s">
        <v>778</v>
      </c>
      <c r="S2" s="35" t="s">
        <v>779</v>
      </c>
      <c r="T2" s="35" t="s">
        <v>780</v>
      </c>
      <c r="U2" s="35" t="s">
        <v>781</v>
      </c>
      <c r="V2" s="35" t="s">
        <v>782</v>
      </c>
      <c r="W2" s="35" t="s">
        <v>783</v>
      </c>
      <c r="X2" s="35" t="s">
        <v>784</v>
      </c>
      <c r="Y2" s="35" t="s">
        <v>785</v>
      </c>
      <c r="Z2" s="35" t="s">
        <v>786</v>
      </c>
      <c r="AA2" s="35" t="s">
        <v>787</v>
      </c>
      <c r="AB2" s="35" t="s">
        <v>788</v>
      </c>
      <c r="AC2" s="35" t="s">
        <v>789</v>
      </c>
      <c r="AD2" s="35" t="s">
        <v>790</v>
      </c>
      <c r="AE2" s="35" t="s">
        <v>791</v>
      </c>
      <c r="AF2" s="35" t="s">
        <v>792</v>
      </c>
      <c r="AG2" s="35" t="s">
        <v>793</v>
      </c>
    </row>
    <row r="3" spans="2:34" ht="15.75" thickBot="1" x14ac:dyDescent="0.3">
      <c r="B3" s="140"/>
      <c r="C3" s="177" t="s">
        <v>796</v>
      </c>
      <c r="D3" s="178">
        <v>332.54899999999998</v>
      </c>
      <c r="E3" s="179">
        <v>336.06400000000002</v>
      </c>
      <c r="F3" s="179">
        <v>349.69499999999999</v>
      </c>
      <c r="G3" s="179">
        <v>310.613</v>
      </c>
      <c r="H3" s="179">
        <v>312.786</v>
      </c>
      <c r="I3" s="179">
        <v>308.18400000000003</v>
      </c>
      <c r="J3" s="179">
        <v>315.42700000000002</v>
      </c>
      <c r="K3" s="179">
        <v>305.62799999999999</v>
      </c>
      <c r="L3" s="179">
        <v>301.46699999999998</v>
      </c>
      <c r="M3" s="180">
        <v>314.30500000000001</v>
      </c>
      <c r="N3" s="180">
        <v>331.17099999999999</v>
      </c>
      <c r="O3" s="179">
        <v>314.52800000000002</v>
      </c>
      <c r="P3" s="179">
        <v>350.202</v>
      </c>
      <c r="Q3" s="183">
        <v>373.863</v>
      </c>
      <c r="R3" s="179">
        <v>388.93900000000002</v>
      </c>
      <c r="S3" s="179">
        <v>380</v>
      </c>
      <c r="T3" s="184">
        <v>392.31833999999998</v>
      </c>
      <c r="U3" s="179">
        <v>412.7</v>
      </c>
      <c r="V3" s="179">
        <v>439.25099999999998</v>
      </c>
      <c r="W3" s="179">
        <v>449.166</v>
      </c>
      <c r="X3" s="260">
        <f>455829/1000</f>
        <v>455.82900000000001</v>
      </c>
      <c r="Y3" s="260">
        <f>469926/1000</f>
        <v>469.92599999999999</v>
      </c>
      <c r="Z3" s="260">
        <f>504384/1000</f>
        <v>504.38400000000001</v>
      </c>
      <c r="AA3" s="260">
        <f>520509/1000</f>
        <v>520.50900000000001</v>
      </c>
      <c r="AB3" s="260">
        <f>525635/1000</f>
        <v>525.63499999999999</v>
      </c>
      <c r="AC3" s="260">
        <f>566110/1000</f>
        <v>566.11</v>
      </c>
      <c r="AD3" s="260">
        <f>616659/1000</f>
        <v>616.65899999999999</v>
      </c>
      <c r="AE3" s="260">
        <f>629163/1000</f>
        <v>629.16300000000001</v>
      </c>
      <c r="AF3" s="260">
        <f>613091/1000</f>
        <v>613.09100000000001</v>
      </c>
      <c r="AG3" s="260">
        <f>655092/1000</f>
        <v>655.09199999999998</v>
      </c>
    </row>
    <row r="4" spans="2:34" ht="15.75" thickBot="1" x14ac:dyDescent="0.3">
      <c r="C4" s="177" t="s">
        <v>797</v>
      </c>
      <c r="D4" s="185">
        <v>351.96537000000001</v>
      </c>
      <c r="E4" s="186">
        <v>354.83994000000001</v>
      </c>
      <c r="F4" s="186">
        <v>371.57895000000002</v>
      </c>
      <c r="G4" s="186">
        <v>351.37666999999999</v>
      </c>
      <c r="H4" s="186">
        <v>332.86536000000001</v>
      </c>
      <c r="I4" s="186">
        <v>341.21614</v>
      </c>
      <c r="J4" s="186">
        <v>346.96323999999998</v>
      </c>
      <c r="K4" s="186">
        <v>329.39055000000002</v>
      </c>
      <c r="L4" s="186">
        <v>314.77267000000001</v>
      </c>
      <c r="M4" s="186">
        <v>333.16399999999999</v>
      </c>
      <c r="N4" s="186">
        <v>352.96186</v>
      </c>
      <c r="O4" s="186">
        <v>359.98703</v>
      </c>
      <c r="P4" s="848">
        <v>356.20118000000002</v>
      </c>
      <c r="Q4" s="848">
        <v>383.27381000000003</v>
      </c>
      <c r="R4" s="188">
        <v>406.90350000000001</v>
      </c>
      <c r="S4" s="188">
        <v>386.73072000000002</v>
      </c>
      <c r="T4" s="188">
        <v>402.71722999999997</v>
      </c>
      <c r="U4" s="187">
        <v>425.4</v>
      </c>
      <c r="V4" s="188">
        <v>458.03861000000001</v>
      </c>
      <c r="W4" s="188">
        <v>464.16309999999999</v>
      </c>
      <c r="X4" s="187">
        <v>471.49290999999999</v>
      </c>
      <c r="Y4" s="187">
        <v>490.84996000000001</v>
      </c>
      <c r="Z4" s="187">
        <v>510.30318</v>
      </c>
      <c r="AA4" s="187">
        <v>521.46546000000001</v>
      </c>
      <c r="AB4" s="187">
        <v>525.40295000000003</v>
      </c>
      <c r="AC4" s="187">
        <v>561.93795999999998</v>
      </c>
      <c r="AD4" s="187">
        <v>617.71744999999999</v>
      </c>
      <c r="AE4" s="187">
        <v>627.44686000000002</v>
      </c>
      <c r="AF4" s="187">
        <v>611.14323999999999</v>
      </c>
      <c r="AG4" s="187">
        <v>654.19683999999995</v>
      </c>
    </row>
    <row r="5" spans="2:34" x14ac:dyDescent="0.25">
      <c r="L5" s="190"/>
      <c r="M5" s="190"/>
      <c r="N5" s="190"/>
      <c r="O5" s="189"/>
      <c r="P5" s="191"/>
      <c r="Q5" s="191"/>
      <c r="R5" s="27"/>
      <c r="S5" s="27"/>
      <c r="T5" s="27"/>
      <c r="AG5" s="2">
        <f>AG4-AF4</f>
        <v>43.05359999999996</v>
      </c>
      <c r="AH5" t="s">
        <v>217</v>
      </c>
    </row>
    <row r="6" spans="2:34" x14ac:dyDescent="0.25">
      <c r="L6" s="191"/>
      <c r="M6" s="191"/>
      <c r="N6" s="191"/>
      <c r="O6" s="191"/>
      <c r="P6" s="191"/>
      <c r="Q6" s="191"/>
      <c r="R6" s="2"/>
      <c r="S6" s="86"/>
      <c r="T6" s="27"/>
      <c r="U6" s="2"/>
      <c r="AG6" s="191">
        <f>AG4/AF4*100-100</f>
        <v>7.0447641701804571</v>
      </c>
      <c r="AH6" t="s">
        <v>220</v>
      </c>
    </row>
    <row r="7" spans="2:34" x14ac:dyDescent="0.25">
      <c r="AG7" s="86">
        <f>AG3-AF3</f>
        <v>42.000999999999976</v>
      </c>
      <c r="AH7" t="s">
        <v>221</v>
      </c>
    </row>
    <row r="8" spans="2:34" x14ac:dyDescent="0.25">
      <c r="AG8" s="191">
        <f>AG3/AF3*100-100</f>
        <v>6.850695899956122</v>
      </c>
      <c r="AH8" t="s">
        <v>222</v>
      </c>
    </row>
    <row r="9" spans="2:34" x14ac:dyDescent="0.25">
      <c r="AG9" s="2">
        <f>AG4-AC4</f>
        <v>92.258879999999976</v>
      </c>
      <c r="AH9" t="s">
        <v>223</v>
      </c>
    </row>
    <row r="10" spans="2:34" x14ac:dyDescent="0.25">
      <c r="AG10" s="191">
        <f>AG4/AC4*100-100</f>
        <v>16.417983223628468</v>
      </c>
      <c r="AH10" t="s">
        <v>225</v>
      </c>
    </row>
    <row r="11" spans="2:34" x14ac:dyDescent="0.25">
      <c r="AG11" s="86">
        <f>AG3-AC3</f>
        <v>88.981999999999971</v>
      </c>
      <c r="AH11" t="s">
        <v>227</v>
      </c>
    </row>
    <row r="12" spans="2:34" x14ac:dyDescent="0.25">
      <c r="AG12" s="191">
        <f>AG3/AC3*100-100</f>
        <v>15.718146649944359</v>
      </c>
      <c r="AH12" t="s">
        <v>228</v>
      </c>
    </row>
    <row r="13" spans="2:34" x14ac:dyDescent="0.25">
      <c r="AG13" s="191">
        <f>AG3/AG4*100-100</f>
        <v>0.13683343380259316</v>
      </c>
      <c r="AH13" t="s">
        <v>231</v>
      </c>
    </row>
    <row r="31" spans="3:34" ht="15.75" thickBot="1" x14ac:dyDescent="0.3"/>
    <row r="32" spans="3:34" ht="15.75" thickBot="1" x14ac:dyDescent="0.3">
      <c r="C32" s="3" t="s">
        <v>795</v>
      </c>
      <c r="D32" s="34" t="s">
        <v>765</v>
      </c>
      <c r="E32" s="35" t="s">
        <v>766</v>
      </c>
      <c r="F32" s="35" t="s">
        <v>764</v>
      </c>
      <c r="G32" s="35" t="s">
        <v>767</v>
      </c>
      <c r="H32" s="35" t="s">
        <v>768</v>
      </c>
      <c r="I32" s="35" t="s">
        <v>769</v>
      </c>
      <c r="J32" s="35" t="s">
        <v>770</v>
      </c>
      <c r="K32" s="35" t="s">
        <v>771</v>
      </c>
      <c r="L32" s="35" t="s">
        <v>772</v>
      </c>
      <c r="M32" s="35" t="s">
        <v>773</v>
      </c>
      <c r="N32" s="35" t="s">
        <v>774</v>
      </c>
      <c r="O32" s="35" t="s">
        <v>775</v>
      </c>
      <c r="P32" s="35" t="s">
        <v>776</v>
      </c>
      <c r="Q32" s="35" t="s">
        <v>777</v>
      </c>
      <c r="R32" s="35" t="s">
        <v>778</v>
      </c>
      <c r="S32" s="35" t="s">
        <v>779</v>
      </c>
      <c r="T32" s="35" t="s">
        <v>780</v>
      </c>
      <c r="U32" s="35" t="s">
        <v>781</v>
      </c>
      <c r="V32" s="35" t="s">
        <v>782</v>
      </c>
      <c r="W32" s="35" t="s">
        <v>783</v>
      </c>
      <c r="X32" s="35" t="s">
        <v>784</v>
      </c>
      <c r="Y32" s="35" t="s">
        <v>785</v>
      </c>
      <c r="Z32" s="35" t="s">
        <v>786</v>
      </c>
      <c r="AA32" s="35" t="s">
        <v>787</v>
      </c>
      <c r="AB32" s="35" t="s">
        <v>788</v>
      </c>
      <c r="AC32" s="35" t="s">
        <v>789</v>
      </c>
      <c r="AD32" s="35" t="s">
        <v>790</v>
      </c>
      <c r="AE32" s="35" t="s">
        <v>791</v>
      </c>
      <c r="AF32" s="35" t="s">
        <v>792</v>
      </c>
      <c r="AG32" s="35" t="s">
        <v>793</v>
      </c>
      <c r="AH32" s="35" t="s">
        <v>806</v>
      </c>
    </row>
    <row r="33" spans="3:34" ht="15.75" thickBot="1" x14ac:dyDescent="0.3">
      <c r="C33" s="177" t="s">
        <v>796</v>
      </c>
      <c r="D33" s="260">
        <v>381.036</v>
      </c>
      <c r="E33" s="260">
        <v>386.89600000000002</v>
      </c>
      <c r="F33" s="260">
        <v>412.786</v>
      </c>
      <c r="G33" s="260">
        <v>418.65300000000002</v>
      </c>
      <c r="H33" s="260">
        <v>388.79399999999998</v>
      </c>
      <c r="I33" s="260">
        <v>378.63900000000001</v>
      </c>
      <c r="J33" s="260">
        <v>422.02100000000002</v>
      </c>
      <c r="K33" s="260">
        <v>455.839</v>
      </c>
      <c r="L33" s="260">
        <v>444.90100000000001</v>
      </c>
      <c r="M33" s="260">
        <v>461.14699999999999</v>
      </c>
      <c r="N33" s="261">
        <v>491.89299999999997</v>
      </c>
      <c r="O33" s="260">
        <v>497.714</v>
      </c>
      <c r="P33" s="260">
        <v>515.46</v>
      </c>
      <c r="Q33" s="260">
        <v>506.084</v>
      </c>
      <c r="R33" s="260">
        <v>541.42999999999995</v>
      </c>
      <c r="S33" s="262">
        <v>539.29999999999995</v>
      </c>
      <c r="T33" s="260">
        <v>553.56083999999998</v>
      </c>
      <c r="U33" s="260">
        <v>525</v>
      </c>
      <c r="V33" s="260">
        <v>593.24400000000003</v>
      </c>
      <c r="W33" s="260">
        <v>610.32000000000005</v>
      </c>
      <c r="X33" s="260">
        <v>620.64099999999996</v>
      </c>
      <c r="Y33" s="260">
        <v>565.81200000000001</v>
      </c>
      <c r="Z33" s="260">
        <v>609.45500000000004</v>
      </c>
      <c r="AA33" s="260">
        <v>672.40599999999995</v>
      </c>
      <c r="AB33" s="260">
        <v>755.48900000000003</v>
      </c>
      <c r="AC33" s="260">
        <v>655.79499999999996</v>
      </c>
      <c r="AD33" s="260">
        <v>728.24800000000005</v>
      </c>
      <c r="AE33" s="260">
        <v>755.48900000000003</v>
      </c>
      <c r="AF33" s="260">
        <v>735.76400000000001</v>
      </c>
      <c r="AG33" s="260">
        <v>722.54499999999996</v>
      </c>
      <c r="AH33" s="260"/>
    </row>
    <row r="34" spans="3:34" ht="15.75" thickBot="1" x14ac:dyDescent="0.3">
      <c r="C34" s="177" t="s">
        <v>797</v>
      </c>
      <c r="D34" s="185">
        <v>380.59573</v>
      </c>
      <c r="E34" s="186">
        <v>377.43749000000003</v>
      </c>
      <c r="F34" s="186">
        <v>386.44666999999998</v>
      </c>
      <c r="G34" s="186">
        <v>398.72843</v>
      </c>
      <c r="H34" s="186">
        <v>387.74041999999997</v>
      </c>
      <c r="I34" s="186">
        <v>373.88956000000002</v>
      </c>
      <c r="J34" s="186">
        <v>419.99621999999999</v>
      </c>
      <c r="K34" s="186">
        <v>447.26745</v>
      </c>
      <c r="L34" s="186">
        <v>443.13673</v>
      </c>
      <c r="M34" s="186">
        <v>440.39087999999998</v>
      </c>
      <c r="N34" s="186">
        <v>481.72215999999997</v>
      </c>
      <c r="O34" s="186">
        <v>515.46486000000004</v>
      </c>
      <c r="P34" s="848">
        <v>509.97645999999997</v>
      </c>
      <c r="Q34" s="848">
        <v>507.57857999999999</v>
      </c>
      <c r="R34" s="848">
        <v>535.86757</v>
      </c>
      <c r="S34" s="849">
        <v>535.68204000000003</v>
      </c>
      <c r="T34" s="188">
        <v>546.27219000000002</v>
      </c>
      <c r="U34" s="188">
        <v>515.79999999999995</v>
      </c>
      <c r="V34" s="188">
        <v>580.46851000000004</v>
      </c>
      <c r="W34" s="188">
        <v>599.77463999999998</v>
      </c>
      <c r="X34" s="187">
        <v>600.16881000000001</v>
      </c>
      <c r="Y34" s="187">
        <v>576.16169000000002</v>
      </c>
      <c r="Z34" s="187">
        <v>617.36473999999998</v>
      </c>
      <c r="AA34" s="187">
        <v>684.95189000000005</v>
      </c>
      <c r="AB34" s="187">
        <v>654.19511</v>
      </c>
      <c r="AC34" s="187">
        <v>655.94029</v>
      </c>
      <c r="AD34" s="187">
        <v>729.75048000000004</v>
      </c>
      <c r="AE34" s="187">
        <v>752.68416999999999</v>
      </c>
      <c r="AF34" s="187">
        <v>737.87010999999995</v>
      </c>
      <c r="AG34" s="187">
        <v>716.39517999999998</v>
      </c>
      <c r="AH34" s="187"/>
    </row>
    <row r="35" spans="3:34" x14ac:dyDescent="0.25">
      <c r="L35" s="27"/>
      <c r="M35" s="27"/>
      <c r="N35" s="27"/>
      <c r="O35" s="27"/>
      <c r="P35" s="27"/>
      <c r="Q35" s="27"/>
      <c r="R35" s="27"/>
      <c r="S35" s="27"/>
      <c r="T35" s="27"/>
      <c r="U35" s="27"/>
      <c r="AG35" s="27">
        <f>X34-W34</f>
        <v>0.394170000000031</v>
      </c>
      <c r="AH35" t="s">
        <v>217</v>
      </c>
    </row>
    <row r="36" spans="3:34" x14ac:dyDescent="0.25">
      <c r="L36" s="27"/>
      <c r="M36" s="27"/>
      <c r="N36" s="27"/>
      <c r="O36" s="27"/>
      <c r="P36" s="27"/>
      <c r="Q36" s="27"/>
      <c r="S36" s="27"/>
      <c r="T36" s="27"/>
      <c r="U36" s="27"/>
      <c r="AG36" s="27">
        <f>AG34/AF34*100-100</f>
        <v>-2.9103943511141779</v>
      </c>
      <c r="AH36" t="s">
        <v>220</v>
      </c>
    </row>
    <row r="37" spans="3:34" x14ac:dyDescent="0.25">
      <c r="S37" s="27"/>
      <c r="T37" s="27"/>
      <c r="U37" s="27"/>
      <c r="AG37" s="27">
        <f>AG33-AF33</f>
        <v>-13.219000000000051</v>
      </c>
      <c r="AH37" t="s">
        <v>221</v>
      </c>
    </row>
    <row r="38" spans="3:34" ht="18.75" x14ac:dyDescent="0.25">
      <c r="C38" s="274"/>
      <c r="AG38" s="27">
        <f>AG33/AF33*100-100</f>
        <v>-1.7966358778086544</v>
      </c>
      <c r="AH38" t="s">
        <v>222</v>
      </c>
    </row>
    <row r="39" spans="3:34" ht="18.75" x14ac:dyDescent="0.25">
      <c r="C39" s="274"/>
      <c r="T39" s="86"/>
      <c r="U39" s="2"/>
      <c r="X39" s="27"/>
      <c r="Y39" s="27"/>
      <c r="Z39" s="27"/>
      <c r="AA39" s="27"/>
      <c r="AG39" s="27">
        <f>AG34-AC34</f>
        <v>60.454889999999978</v>
      </c>
      <c r="AH39" t="s">
        <v>223</v>
      </c>
    </row>
    <row r="40" spans="3:34" ht="18.75" x14ac:dyDescent="0.25">
      <c r="C40" s="280"/>
      <c r="T40" s="86"/>
      <c r="U40" s="86"/>
      <c r="X40" s="27"/>
      <c r="Y40" s="27"/>
      <c r="Z40" s="27"/>
      <c r="AA40" s="27"/>
      <c r="AG40" s="27">
        <f>AG34/AC34*100-100</f>
        <v>9.2165233515385978</v>
      </c>
      <c r="AH40" t="s">
        <v>225</v>
      </c>
    </row>
    <row r="41" spans="3:34" ht="18.75" x14ac:dyDescent="0.25">
      <c r="C41" s="280"/>
      <c r="U41" s="2"/>
      <c r="AG41" s="27">
        <f>AG33-AC33</f>
        <v>66.75</v>
      </c>
      <c r="AH41" t="s">
        <v>227</v>
      </c>
    </row>
    <row r="42" spans="3:34" ht="18.75" x14ac:dyDescent="0.25">
      <c r="C42" s="280"/>
      <c r="U42" s="86"/>
      <c r="AG42" s="27">
        <f>AG33/AC33*100-100</f>
        <v>10.178485654815915</v>
      </c>
      <c r="AH42" t="s">
        <v>228</v>
      </c>
    </row>
    <row r="43" spans="3:34" ht="18.75" x14ac:dyDescent="0.25">
      <c r="C43" s="274"/>
      <c r="AG43" s="27">
        <f>AG33/AG34*100-100</f>
        <v>0.85843961150044379</v>
      </c>
      <c r="AH43" t="s">
        <v>231</v>
      </c>
    </row>
  </sheetData>
  <pageMargins left="0.7" right="0.7" top="0.75" bottom="0.75" header="0.3" footer="0.3"/>
  <pageSetup paperSize="9" orientation="portrait" r:id="rId1"/>
  <drawing r:id="rId2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7"/>
  <sheetViews>
    <sheetView workbookViewId="0">
      <selection activeCell="L29" sqref="L29"/>
    </sheetView>
  </sheetViews>
  <sheetFormatPr defaultColWidth="9.140625" defaultRowHeight="15" x14ac:dyDescent="0.25"/>
  <cols>
    <col min="1" max="1" width="18.140625" style="100" customWidth="1"/>
    <col min="2" max="4" width="9.28515625" style="100" bestFit="1" customWidth="1"/>
    <col min="5" max="5" width="10.28515625" style="100" bestFit="1" customWidth="1"/>
    <col min="6" max="7" width="10.28515625" style="100" customWidth="1"/>
    <col min="8" max="8" width="11.140625" style="100" customWidth="1"/>
    <col min="9" max="9" width="13.28515625" style="100" bestFit="1" customWidth="1"/>
    <col min="10" max="16384" width="9.140625" style="100"/>
  </cols>
  <sheetData>
    <row r="1" spans="1:9" x14ac:dyDescent="0.25">
      <c r="A1" s="100" t="s">
        <v>163</v>
      </c>
    </row>
    <row r="2" spans="1:9" ht="15.75" thickBot="1" x14ac:dyDescent="0.3">
      <c r="B2" s="101"/>
      <c r="C2" s="101"/>
      <c r="D2" s="101"/>
      <c r="E2" s="101"/>
      <c r="F2" s="101"/>
      <c r="G2" s="101"/>
    </row>
    <row r="3" spans="1:9" ht="15.75" thickBot="1" x14ac:dyDescent="0.3">
      <c r="A3" s="102" t="s">
        <v>105</v>
      </c>
      <c r="B3" s="103" t="s">
        <v>57</v>
      </c>
      <c r="C3" s="104" t="s">
        <v>58</v>
      </c>
      <c r="D3" s="104" t="s">
        <v>59</v>
      </c>
      <c r="E3" s="104" t="s">
        <v>49</v>
      </c>
      <c r="F3" s="104" t="s">
        <v>104</v>
      </c>
      <c r="G3" s="104" t="s">
        <v>142</v>
      </c>
      <c r="H3" s="105" t="s">
        <v>99</v>
      </c>
      <c r="I3" s="105" t="s">
        <v>100</v>
      </c>
    </row>
    <row r="4" spans="1:9" x14ac:dyDescent="0.25">
      <c r="A4" s="65" t="s">
        <v>34</v>
      </c>
      <c r="B4" s="63">
        <v>3146</v>
      </c>
      <c r="C4" s="63">
        <f>'[14]2021. III. Állományi adatok '!$B$34+'[14]2021. III. Állományi adatok '!$J$34</f>
        <v>3328</v>
      </c>
      <c r="D4" s="63" t="e">
        <f>'5.ábra'!#REF!</f>
        <v>#REF!</v>
      </c>
      <c r="E4" s="106">
        <v>3463</v>
      </c>
      <c r="F4" s="106">
        <v>3528</v>
      </c>
      <c r="G4" s="106">
        <f>'[14]2022. III. Állományi adatok'!$B$34+'[14]2022. III. Állományi adatok'!$J$34</f>
        <v>3083</v>
      </c>
      <c r="H4" s="107">
        <f>G4/F4*100-100</f>
        <v>-12.613378684807259</v>
      </c>
      <c r="I4" s="107">
        <f>G4/C4*100-100</f>
        <v>-7.3617788461538396</v>
      </c>
    </row>
    <row r="5" spans="1:9" x14ac:dyDescent="0.25">
      <c r="A5" s="66" t="s">
        <v>35</v>
      </c>
      <c r="B5" s="63">
        <v>195814</v>
      </c>
      <c r="C5" s="63">
        <f>'[14]2021. III. Állományi adatok '!$B$81+'[14]2021. III. Állományi adatok '!$J$81</f>
        <v>212562</v>
      </c>
      <c r="D5" s="63"/>
      <c r="E5" s="106">
        <v>209242</v>
      </c>
      <c r="F5" s="106">
        <v>211638</v>
      </c>
      <c r="G5" s="106">
        <f>'[14]2022. III. Állományi adatok'!$B$81+'[14]2022. III. Állományi adatok'!$J$81</f>
        <v>224071</v>
      </c>
      <c r="H5" s="107">
        <f>G5/F5*100-100</f>
        <v>5.8746538901331462</v>
      </c>
      <c r="I5" s="107">
        <f t="shared" ref="I5:I6" si="0">G5/C5*100-100</f>
        <v>5.4144202632643754</v>
      </c>
    </row>
    <row r="6" spans="1:9" x14ac:dyDescent="0.25">
      <c r="A6" s="108" t="s">
        <v>106</v>
      </c>
      <c r="B6" s="71">
        <f t="shared" ref="B6:E6" si="1">SUM(B4:B5)</f>
        <v>198960</v>
      </c>
      <c r="C6" s="71">
        <f t="shared" si="1"/>
        <v>215890</v>
      </c>
      <c r="D6" s="71" t="e">
        <f t="shared" si="1"/>
        <v>#REF!</v>
      </c>
      <c r="E6" s="71">
        <f t="shared" si="1"/>
        <v>212705</v>
      </c>
      <c r="F6" s="71">
        <f>SUM(F4:F5)</f>
        <v>215166</v>
      </c>
      <c r="G6" s="71">
        <f>SUM(G4:G5)</f>
        <v>227154</v>
      </c>
      <c r="H6" s="107">
        <f>G6/F6*100-100</f>
        <v>5.5715122277683236</v>
      </c>
      <c r="I6" s="107">
        <f t="shared" si="0"/>
        <v>5.2174718606697894</v>
      </c>
    </row>
    <row r="7" spans="1:9" ht="15.75" thickBot="1" x14ac:dyDescent="0.3">
      <c r="B7" s="101"/>
      <c r="C7" s="101"/>
      <c r="D7" s="101"/>
      <c r="E7" s="101"/>
      <c r="F7" s="101"/>
      <c r="G7" s="101"/>
      <c r="H7" s="107"/>
      <c r="I7" s="107"/>
    </row>
    <row r="8" spans="1:9" ht="15.75" thickBot="1" x14ac:dyDescent="0.3">
      <c r="A8" s="67" t="s">
        <v>62</v>
      </c>
      <c r="B8" s="103" t="s">
        <v>57</v>
      </c>
      <c r="C8" s="104" t="s">
        <v>58</v>
      </c>
      <c r="D8" s="104" t="s">
        <v>59</v>
      </c>
      <c r="E8" s="104" t="s">
        <v>49</v>
      </c>
      <c r="F8" s="104" t="s">
        <v>104</v>
      </c>
      <c r="G8" s="104" t="s">
        <v>142</v>
      </c>
      <c r="H8" s="105" t="s">
        <v>99</v>
      </c>
      <c r="I8" s="105" t="s">
        <v>100</v>
      </c>
    </row>
    <row r="9" spans="1:9" x14ac:dyDescent="0.25">
      <c r="A9" s="68" t="s">
        <v>34</v>
      </c>
      <c r="B9" s="63">
        <v>526</v>
      </c>
      <c r="C9" s="63">
        <f>'[14]2021. III. Állományi adatok '!$C$34+'[14]2021. III. Állományi adatok '!$K$34</f>
        <v>658</v>
      </c>
      <c r="D9" s="63"/>
      <c r="E9" s="106">
        <v>915</v>
      </c>
      <c r="F9" s="106">
        <v>800</v>
      </c>
      <c r="G9" s="106">
        <f>'[14]2022. III. Állományi adatok'!$C$34+'[14]2022. III. Állományi adatok'!$K$34</f>
        <v>688</v>
      </c>
      <c r="H9" s="107">
        <f>G9/F9*100-100</f>
        <v>-14</v>
      </c>
      <c r="I9" s="107">
        <f>G9/C9*100-100</f>
        <v>4.5592705167173193</v>
      </c>
    </row>
    <row r="10" spans="1:9" ht="15.75" thickBot="1" x14ac:dyDescent="0.3">
      <c r="A10" s="69" t="s">
        <v>35</v>
      </c>
      <c r="B10" s="63">
        <v>151209</v>
      </c>
      <c r="C10" s="63">
        <f>'[14]2021. III. Állományi adatok '!$C$81+'[14]2021. III. Állományi adatok '!$K$81</f>
        <v>170379</v>
      </c>
      <c r="D10" s="63"/>
      <c r="E10" s="106">
        <v>180866</v>
      </c>
      <c r="F10" s="106">
        <v>187193</v>
      </c>
      <c r="G10" s="106">
        <f>'[14]2022. III. Állományi adatok'!$C$81+'[14]2022. III. Állományi adatok'!$K$81</f>
        <v>200556</v>
      </c>
      <c r="H10" s="107">
        <f t="shared" ref="H10:H11" si="2">G10/F10*100-100</f>
        <v>7.1386216364928146</v>
      </c>
      <c r="I10" s="107">
        <f t="shared" ref="I10:I11" si="3">G10/C10*100-100</f>
        <v>17.711689820928626</v>
      </c>
    </row>
    <row r="11" spans="1:9" x14ac:dyDescent="0.25">
      <c r="A11" s="108" t="s">
        <v>107</v>
      </c>
      <c r="B11" s="71">
        <f t="shared" ref="B11:G11" si="4">SUM(B9:B10)</f>
        <v>151735</v>
      </c>
      <c r="C11" s="71">
        <f t="shared" si="4"/>
        <v>171037</v>
      </c>
      <c r="D11" s="71">
        <f t="shared" si="4"/>
        <v>0</v>
      </c>
      <c r="E11" s="71">
        <f t="shared" si="4"/>
        <v>181781</v>
      </c>
      <c r="F11" s="71">
        <f t="shared" si="4"/>
        <v>187993</v>
      </c>
      <c r="G11" s="71">
        <f t="shared" si="4"/>
        <v>201244</v>
      </c>
      <c r="H11" s="107">
        <f t="shared" si="2"/>
        <v>7.0486667056752168</v>
      </c>
      <c r="I11" s="107">
        <f t="shared" si="3"/>
        <v>17.66109087507381</v>
      </c>
    </row>
    <row r="12" spans="1:9" ht="15.75" thickBot="1" x14ac:dyDescent="0.3">
      <c r="B12" s="101"/>
      <c r="C12" s="101"/>
      <c r="D12" s="101"/>
      <c r="E12" s="101"/>
      <c r="F12" s="101"/>
      <c r="G12" s="101"/>
      <c r="H12" s="107"/>
      <c r="I12" s="107"/>
    </row>
    <row r="13" spans="1:9" ht="15.75" thickBot="1" x14ac:dyDescent="0.3">
      <c r="A13" s="67" t="s">
        <v>65</v>
      </c>
      <c r="B13" s="103" t="s">
        <v>57</v>
      </c>
      <c r="C13" s="104" t="s">
        <v>58</v>
      </c>
      <c r="D13" s="104" t="s">
        <v>59</v>
      </c>
      <c r="E13" s="104" t="s">
        <v>49</v>
      </c>
      <c r="F13" s="104" t="s">
        <v>104</v>
      </c>
      <c r="G13" s="104" t="s">
        <v>142</v>
      </c>
      <c r="H13" s="105" t="s">
        <v>99</v>
      </c>
      <c r="I13" s="105" t="s">
        <v>100</v>
      </c>
    </row>
    <row r="14" spans="1:9" x14ac:dyDescent="0.25">
      <c r="A14" s="68" t="s">
        <v>34</v>
      </c>
      <c r="B14" s="63">
        <v>2068</v>
      </c>
      <c r="C14" s="63">
        <f>'[14]2021. III. Állományi adatok '!$E$34+'[14]2021. III. Állományi adatok '!$F$34+'[14]2021. III. Állományi adatok '!$L$34</f>
        <v>2128</v>
      </c>
      <c r="D14" s="63"/>
      <c r="E14" s="106">
        <v>2239</v>
      </c>
      <c r="F14" s="106">
        <v>2324</v>
      </c>
      <c r="G14" s="106">
        <f>'[14]2022. III. Állományi adatok'!$E$34+'[14]2022. III. Állományi adatok'!$F$346</f>
        <v>1990</v>
      </c>
      <c r="H14" s="107">
        <f>G14/F14*100-100</f>
        <v>-14.371772805507746</v>
      </c>
      <c r="I14" s="107">
        <f>G14/C14*100-100</f>
        <v>-6.4849624060150433</v>
      </c>
    </row>
    <row r="15" spans="1:9" ht="15.75" thickBot="1" x14ac:dyDescent="0.3">
      <c r="A15" s="69" t="s">
        <v>35</v>
      </c>
      <c r="B15" s="63">
        <v>121820</v>
      </c>
      <c r="C15" s="63">
        <f>'[14]2021. III. Állományi adatok '!$E$81+'[14]2021. III. Állományi adatok '!$F$81+'[14]2021. III. Állományi adatok '!$L$81</f>
        <v>120226</v>
      </c>
      <c r="D15" s="63"/>
      <c r="E15" s="106">
        <v>148464</v>
      </c>
      <c r="F15" s="106">
        <v>154542</v>
      </c>
      <c r="G15" s="106">
        <f>'[14]2022. III. Állományi adatok'!$E$81+'[14]2022. III. Állományi adatok'!$F$81+'[14]2022. III. Állományi adatok'!$L$81</f>
        <v>178401</v>
      </c>
      <c r="H15" s="107">
        <f t="shared" ref="H15:H16" si="5">G15/F15*100-100</f>
        <v>15.438521566952673</v>
      </c>
      <c r="I15" s="107">
        <f t="shared" ref="I15:I16" si="6">G15/C15*100-100</f>
        <v>48.388035865786094</v>
      </c>
    </row>
    <row r="16" spans="1:9" x14ac:dyDescent="0.25">
      <c r="A16" s="108" t="s">
        <v>108</v>
      </c>
      <c r="B16" s="71">
        <f t="shared" ref="B16:G16" si="7">SUM(B14:B15)</f>
        <v>123888</v>
      </c>
      <c r="C16" s="71">
        <f t="shared" si="7"/>
        <v>122354</v>
      </c>
      <c r="D16" s="71">
        <f t="shared" si="7"/>
        <v>0</v>
      </c>
      <c r="E16" s="71">
        <f t="shared" si="7"/>
        <v>150703</v>
      </c>
      <c r="F16" s="71">
        <f t="shared" si="7"/>
        <v>156866</v>
      </c>
      <c r="G16" s="71">
        <f t="shared" si="7"/>
        <v>180391</v>
      </c>
      <c r="H16" s="107">
        <f t="shared" si="5"/>
        <v>14.996876314816475</v>
      </c>
      <c r="I16" s="107">
        <f t="shared" si="6"/>
        <v>47.433676054726448</v>
      </c>
    </row>
    <row r="17" spans="1:9" ht="15.75" thickBot="1" x14ac:dyDescent="0.3">
      <c r="B17" s="107"/>
      <c r="C17" s="107"/>
      <c r="D17" s="107"/>
      <c r="E17" s="107"/>
      <c r="F17" s="107"/>
      <c r="G17" s="107"/>
      <c r="H17" s="107"/>
      <c r="I17" s="107"/>
    </row>
    <row r="18" spans="1:9" ht="15.75" thickBot="1" x14ac:dyDescent="0.3">
      <c r="A18" s="67" t="s">
        <v>67</v>
      </c>
      <c r="B18" s="103" t="s">
        <v>57</v>
      </c>
      <c r="C18" s="104" t="s">
        <v>58</v>
      </c>
      <c r="D18" s="104" t="s">
        <v>59</v>
      </c>
      <c r="E18" s="104" t="s">
        <v>49</v>
      </c>
      <c r="F18" s="104" t="s">
        <v>104</v>
      </c>
      <c r="G18" s="104" t="s">
        <v>142</v>
      </c>
      <c r="H18" s="105" t="s">
        <v>99</v>
      </c>
      <c r="I18" s="105" t="s">
        <v>100</v>
      </c>
    </row>
    <row r="19" spans="1:9" x14ac:dyDescent="0.25">
      <c r="A19" s="68" t="s">
        <v>34</v>
      </c>
      <c r="B19" s="63">
        <v>388</v>
      </c>
      <c r="C19" s="63">
        <f>'[14]2021. III. Állományi adatok '!$H$34+'[14]2021. III. Állományi adatok '!$M$34</f>
        <v>379</v>
      </c>
      <c r="D19" s="63"/>
      <c r="E19" s="106">
        <v>902</v>
      </c>
      <c r="F19" s="106">
        <v>688</v>
      </c>
      <c r="G19" s="106">
        <f>'[14]2022. III. Állományi adatok'!$H$34+'[14]2022. III. Állományi adatok'!$M$34</f>
        <v>334</v>
      </c>
      <c r="H19" s="107">
        <f>G19/F19*100-100</f>
        <v>-51.453488372093027</v>
      </c>
      <c r="I19" s="107">
        <f>G19/C19*100-100</f>
        <v>-11.873350923482846</v>
      </c>
    </row>
    <row r="20" spans="1:9" ht="15.75" thickBot="1" x14ac:dyDescent="0.3">
      <c r="A20" s="69" t="s">
        <v>35</v>
      </c>
      <c r="B20" s="63">
        <v>96968</v>
      </c>
      <c r="C20" s="63">
        <f>'[14]2021. III. Állományi adatok '!$H$81+'[14]2021. III. Állományi adatok '!$M$81</f>
        <v>108307</v>
      </c>
      <c r="D20" s="63"/>
      <c r="E20" s="106">
        <v>106060</v>
      </c>
      <c r="F20" s="106">
        <v>102069</v>
      </c>
      <c r="G20" s="106">
        <f>'[14]2022. III. Állományi adatok'!$H$81+'[14]2022. III. Állományi adatok'!$M$81</f>
        <v>125248</v>
      </c>
      <c r="H20" s="107">
        <f t="shared" ref="H20:H21" si="8">G20/F20*100-100</f>
        <v>22.709147733396023</v>
      </c>
      <c r="I20" s="107">
        <f t="shared" ref="I20:I21" si="9">G20/C20*100-100</f>
        <v>15.641648277581325</v>
      </c>
    </row>
    <row r="21" spans="1:9" x14ac:dyDescent="0.25">
      <c r="A21" s="108" t="s">
        <v>109</v>
      </c>
      <c r="B21" s="71">
        <f t="shared" ref="B21:G21" si="10">SUM(B19:B20)</f>
        <v>97356</v>
      </c>
      <c r="C21" s="71">
        <f t="shared" si="10"/>
        <v>108686</v>
      </c>
      <c r="D21" s="71">
        <f t="shared" si="10"/>
        <v>0</v>
      </c>
      <c r="E21" s="71">
        <f t="shared" si="10"/>
        <v>106962</v>
      </c>
      <c r="F21" s="71">
        <f t="shared" si="10"/>
        <v>102757</v>
      </c>
      <c r="G21" s="71">
        <f t="shared" si="10"/>
        <v>125582</v>
      </c>
      <c r="H21" s="107">
        <f t="shared" si="8"/>
        <v>22.212598655079447</v>
      </c>
      <c r="I21" s="107">
        <f t="shared" si="9"/>
        <v>15.545700458200699</v>
      </c>
    </row>
    <row r="22" spans="1:9" ht="15.75" thickBot="1" x14ac:dyDescent="0.3">
      <c r="H22" s="107"/>
      <c r="I22" s="107"/>
    </row>
    <row r="23" spans="1:9" x14ac:dyDescent="0.25">
      <c r="B23" s="103" t="s">
        <v>57</v>
      </c>
      <c r="C23" s="104" t="s">
        <v>58</v>
      </c>
      <c r="D23" s="104" t="s">
        <v>59</v>
      </c>
      <c r="E23" s="104" t="s">
        <v>49</v>
      </c>
      <c r="F23" s="104" t="s">
        <v>104</v>
      </c>
      <c r="G23" s="104" t="s">
        <v>142</v>
      </c>
      <c r="H23" s="107"/>
      <c r="I23" s="107"/>
    </row>
    <row r="24" spans="1:9" x14ac:dyDescent="0.25">
      <c r="A24" s="108" t="s">
        <v>106</v>
      </c>
      <c r="B24" s="109">
        <f t="shared" ref="B24:F24" si="11">B6/1000</f>
        <v>198.96</v>
      </c>
      <c r="C24" s="109">
        <f t="shared" si="11"/>
        <v>215.89</v>
      </c>
      <c r="D24" s="109" t="e">
        <f t="shared" si="11"/>
        <v>#REF!</v>
      </c>
      <c r="E24" s="109">
        <f t="shared" si="11"/>
        <v>212.70500000000001</v>
      </c>
      <c r="F24" s="109">
        <f t="shared" si="11"/>
        <v>215.166</v>
      </c>
      <c r="G24" s="109">
        <f>G6/1000</f>
        <v>227.154</v>
      </c>
      <c r="H24" s="107"/>
      <c r="I24" s="107"/>
    </row>
    <row r="25" spans="1:9" x14ac:dyDescent="0.25">
      <c r="A25" s="108" t="s">
        <v>107</v>
      </c>
      <c r="B25" s="109">
        <f t="shared" ref="B25:F25" si="12">B11/1000</f>
        <v>151.73500000000001</v>
      </c>
      <c r="C25" s="109">
        <f t="shared" si="12"/>
        <v>171.03700000000001</v>
      </c>
      <c r="D25" s="109">
        <f t="shared" si="12"/>
        <v>0</v>
      </c>
      <c r="E25" s="109">
        <f t="shared" si="12"/>
        <v>181.78100000000001</v>
      </c>
      <c r="F25" s="109">
        <f t="shared" si="12"/>
        <v>187.99299999999999</v>
      </c>
      <c r="G25" s="109">
        <f t="shared" ref="G25" si="13">G11/1000</f>
        <v>201.244</v>
      </c>
      <c r="H25" s="107"/>
      <c r="I25" s="107"/>
    </row>
    <row r="26" spans="1:9" x14ac:dyDescent="0.25">
      <c r="A26" s="108" t="s">
        <v>108</v>
      </c>
      <c r="B26" s="109">
        <f t="shared" ref="B26:F26" si="14">B16/1000</f>
        <v>123.88800000000001</v>
      </c>
      <c r="C26" s="109">
        <f t="shared" si="14"/>
        <v>122.354</v>
      </c>
      <c r="D26" s="109">
        <f t="shared" si="14"/>
        <v>0</v>
      </c>
      <c r="E26" s="109">
        <f t="shared" si="14"/>
        <v>150.703</v>
      </c>
      <c r="F26" s="109">
        <f t="shared" si="14"/>
        <v>156.86600000000001</v>
      </c>
      <c r="G26" s="109">
        <f t="shared" ref="G26" si="15">G16/1000</f>
        <v>180.39099999999999</v>
      </c>
      <c r="H26" s="107"/>
      <c r="I26" s="107"/>
    </row>
    <row r="27" spans="1:9" x14ac:dyDescent="0.25">
      <c r="A27" s="108" t="s">
        <v>109</v>
      </c>
      <c r="B27" s="109">
        <f t="shared" ref="B27:F27" si="16">B21/1000</f>
        <v>97.355999999999995</v>
      </c>
      <c r="C27" s="109">
        <f t="shared" si="16"/>
        <v>108.68600000000001</v>
      </c>
      <c r="D27" s="109">
        <f t="shared" si="16"/>
        <v>0</v>
      </c>
      <c r="E27" s="109">
        <f t="shared" si="16"/>
        <v>106.962</v>
      </c>
      <c r="F27" s="109">
        <f t="shared" si="16"/>
        <v>102.75700000000001</v>
      </c>
      <c r="G27" s="109">
        <f t="shared" ref="G27" si="17">G21/1000</f>
        <v>125.58199999999999</v>
      </c>
      <c r="H27" s="107"/>
      <c r="I27" s="107"/>
    </row>
  </sheetData>
  <pageMargins left="0.7" right="0.7" top="0.75" bottom="0.75" header="0.3" footer="0.3"/>
  <pageSetup paperSize="9" orientation="portrait" r:id="rId1"/>
</worksheet>
</file>

<file path=xl/worksheets/sheet2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A73"/>
  <sheetViews>
    <sheetView workbookViewId="0">
      <selection activeCell="O30" sqref="O30"/>
    </sheetView>
  </sheetViews>
  <sheetFormatPr defaultRowHeight="15" x14ac:dyDescent="0.25"/>
  <cols>
    <col min="1" max="1" width="49.7109375" customWidth="1"/>
    <col min="2" max="5" width="15.42578125" bestFit="1" customWidth="1"/>
    <col min="6" max="10" width="15.42578125" customWidth="1"/>
    <col min="11" max="13" width="13.28515625" bestFit="1" customWidth="1"/>
    <col min="14" max="14" width="17.85546875" bestFit="1" customWidth="1"/>
    <col min="15" max="15" width="11" bestFit="1" customWidth="1"/>
    <col min="17" max="17" width="11" bestFit="1" customWidth="1"/>
    <col min="19" max="19" width="29.140625" bestFit="1" customWidth="1"/>
    <col min="22" max="22" width="26.28515625" bestFit="1" customWidth="1"/>
    <col min="24" max="25" width="9.5703125" customWidth="1"/>
  </cols>
  <sheetData>
    <row r="1" spans="1:27" ht="15.75" thickBot="1" x14ac:dyDescent="0.3">
      <c r="A1" t="s">
        <v>119</v>
      </c>
      <c r="B1" s="103" t="s">
        <v>22</v>
      </c>
      <c r="C1" s="103" t="s">
        <v>59</v>
      </c>
      <c r="D1" s="105" t="s">
        <v>178</v>
      </c>
      <c r="E1" s="103" t="s">
        <v>179</v>
      </c>
      <c r="F1" s="103" t="s">
        <v>180</v>
      </c>
      <c r="G1" s="103" t="s">
        <v>168</v>
      </c>
      <c r="H1" s="103" t="s">
        <v>183</v>
      </c>
      <c r="I1" s="103" t="s">
        <v>184</v>
      </c>
      <c r="J1" s="103" t="s">
        <v>804</v>
      </c>
      <c r="K1" s="105" t="s">
        <v>99</v>
      </c>
      <c r="L1" s="105" t="s">
        <v>100</v>
      </c>
      <c r="M1" s="105" t="s">
        <v>170</v>
      </c>
      <c r="N1" s="105" t="s">
        <v>171</v>
      </c>
      <c r="O1" s="105" t="s">
        <v>172</v>
      </c>
      <c r="X1" s="147" t="s">
        <v>751</v>
      </c>
      <c r="Y1" s="147" t="s">
        <v>751</v>
      </c>
    </row>
    <row r="2" spans="1:27" x14ac:dyDescent="0.25">
      <c r="A2" s="110" t="s">
        <v>110</v>
      </c>
      <c r="B2" s="116">
        <v>237916</v>
      </c>
      <c r="C2" s="116">
        <v>229722</v>
      </c>
      <c r="D2" s="116">
        <v>221849</v>
      </c>
      <c r="E2" s="116">
        <v>242409</v>
      </c>
      <c r="F2" s="116">
        <v>247336</v>
      </c>
      <c r="G2" s="116">
        <v>221692</v>
      </c>
      <c r="H2" s="856">
        <v>218764</v>
      </c>
      <c r="I2" s="856">
        <v>228804</v>
      </c>
      <c r="J2" s="856"/>
      <c r="K2" s="27">
        <f>I2/H2*100-100</f>
        <v>4.5894205627982672</v>
      </c>
      <c r="L2" s="27">
        <f>I2/E2*100-100</f>
        <v>-5.6124153806170511</v>
      </c>
      <c r="M2" s="2">
        <f>I2/I10*100</f>
        <v>59.930693250842758</v>
      </c>
      <c r="N2" s="164">
        <f>I2-H2</f>
        <v>10040</v>
      </c>
      <c r="O2" s="165">
        <f>I2-E2</f>
        <v>-13605</v>
      </c>
      <c r="R2" s="1"/>
      <c r="S2" s="110" t="s">
        <v>110</v>
      </c>
      <c r="T2" s="126">
        <f>237679/1000</f>
        <v>237.679</v>
      </c>
      <c r="V2" s="850" t="s">
        <v>110</v>
      </c>
      <c r="W2" s="156">
        <v>228804</v>
      </c>
      <c r="X2" s="27">
        <f>W2/W10*100</f>
        <v>59.930693250842758</v>
      </c>
      <c r="Y2" s="27"/>
    </row>
    <row r="3" spans="1:27" x14ac:dyDescent="0.25">
      <c r="A3" s="111" t="s">
        <v>117</v>
      </c>
      <c r="B3" s="116">
        <v>65682</v>
      </c>
      <c r="C3" s="116">
        <v>65853</v>
      </c>
      <c r="D3" s="116">
        <v>65612</v>
      </c>
      <c r="E3" s="116">
        <v>67984</v>
      </c>
      <c r="F3" s="116">
        <v>68746</v>
      </c>
      <c r="G3" s="116">
        <v>63407</v>
      </c>
      <c r="H3" s="856">
        <v>61968</v>
      </c>
      <c r="I3" s="856">
        <v>61583</v>
      </c>
      <c r="J3" s="856"/>
      <c r="K3" s="27">
        <f t="shared" ref="K3:K10" si="0">I3/H3*100-100</f>
        <v>-0.6212884069196889</v>
      </c>
      <c r="L3" s="27">
        <f t="shared" ref="L3:L10" si="1">I3/E3*100-100</f>
        <v>-9.4154506942810059</v>
      </c>
      <c r="M3" s="2">
        <f>I3/I10*100</f>
        <v>16.130451751134814</v>
      </c>
      <c r="N3" s="164">
        <f>I3-H3</f>
        <v>-385</v>
      </c>
      <c r="O3" s="165">
        <f t="shared" ref="O3:O10" si="2">I3-E3</f>
        <v>-6401</v>
      </c>
      <c r="R3" s="1"/>
      <c r="S3" s="111" t="s">
        <v>117</v>
      </c>
      <c r="T3" s="126">
        <f>67350/1000</f>
        <v>67.349999999999994</v>
      </c>
      <c r="V3" s="851" t="s">
        <v>798</v>
      </c>
      <c r="W3" s="156">
        <v>61583</v>
      </c>
      <c r="X3" s="27">
        <f>W3/W10*100</f>
        <v>16.130451751134814</v>
      </c>
      <c r="Y3" s="27">
        <f>Z3/W10*100</f>
        <v>2.8995680769865446</v>
      </c>
      <c r="Z3" s="1">
        <f>W3-Z4</f>
        <v>11070</v>
      </c>
      <c r="AA3" t="s">
        <v>800</v>
      </c>
    </row>
    <row r="4" spans="1:27" x14ac:dyDescent="0.25">
      <c r="A4" s="112" t="s">
        <v>111</v>
      </c>
      <c r="B4" s="117">
        <v>19092</v>
      </c>
      <c r="C4" s="117">
        <v>19225</v>
      </c>
      <c r="D4" s="117">
        <v>19628</v>
      </c>
      <c r="E4" s="117">
        <v>19677</v>
      </c>
      <c r="F4" s="117">
        <v>18698</v>
      </c>
      <c r="G4" s="117">
        <v>18092</v>
      </c>
      <c r="H4" s="857">
        <v>17528</v>
      </c>
      <c r="I4" s="857">
        <v>17307</v>
      </c>
      <c r="J4" s="857"/>
      <c r="K4" s="27">
        <f t="shared" si="0"/>
        <v>-1.2608397991784557</v>
      </c>
      <c r="L4" s="27">
        <f t="shared" si="1"/>
        <v>-12.044518981552059</v>
      </c>
      <c r="M4" s="2">
        <f>I4/I10*100</f>
        <v>4.5332271642643294</v>
      </c>
      <c r="N4" s="164">
        <f t="shared" ref="N4:N10" si="3">I4-H4</f>
        <v>-221</v>
      </c>
      <c r="O4" s="165">
        <f t="shared" si="2"/>
        <v>-2370</v>
      </c>
      <c r="R4" s="1"/>
      <c r="S4" s="154" t="s">
        <v>115</v>
      </c>
      <c r="T4" s="126">
        <f>45868/1000</f>
        <v>45.868000000000002</v>
      </c>
      <c r="V4" s="112" t="s">
        <v>111</v>
      </c>
      <c r="W4" s="852">
        <v>17307</v>
      </c>
      <c r="X4" s="27">
        <f>W4/W10*100</f>
        <v>4.5332271642643294</v>
      </c>
      <c r="Y4" s="27">
        <f>Z4/W10*100</f>
        <v>13.23088367414827</v>
      </c>
      <c r="Z4" s="1">
        <f>W4+W5+W6</f>
        <v>50513</v>
      </c>
      <c r="AA4" t="s">
        <v>801</v>
      </c>
    </row>
    <row r="5" spans="1:27" x14ac:dyDescent="0.25">
      <c r="A5" s="112" t="s">
        <v>112</v>
      </c>
      <c r="B5" s="117">
        <v>11450</v>
      </c>
      <c r="C5" s="117">
        <v>11297</v>
      </c>
      <c r="D5" s="117">
        <v>11937</v>
      </c>
      <c r="E5" s="117">
        <v>11804</v>
      </c>
      <c r="F5" s="117">
        <v>12036</v>
      </c>
      <c r="G5" s="117">
        <v>11274</v>
      </c>
      <c r="H5" s="857">
        <v>11149</v>
      </c>
      <c r="I5" s="857">
        <v>10894</v>
      </c>
      <c r="J5" s="857"/>
      <c r="K5" s="27">
        <f t="shared" si="0"/>
        <v>-2.2872006457978244</v>
      </c>
      <c r="L5" s="27">
        <f t="shared" si="1"/>
        <v>-7.7092511013215841</v>
      </c>
      <c r="M5" s="2">
        <f>I5/I10*100</f>
        <v>2.8534683496559543</v>
      </c>
      <c r="N5" s="164">
        <f t="shared" si="3"/>
        <v>-255</v>
      </c>
      <c r="O5" s="165">
        <f t="shared" si="2"/>
        <v>-910</v>
      </c>
      <c r="R5" s="1"/>
      <c r="S5" s="154" t="s">
        <v>118</v>
      </c>
      <c r="T5" s="126">
        <f>45345/1000</f>
        <v>45.344999999999999</v>
      </c>
      <c r="V5" s="112" t="s">
        <v>112</v>
      </c>
      <c r="W5" s="852">
        <v>10894</v>
      </c>
      <c r="X5" s="27">
        <f>W5/W10*100</f>
        <v>2.8534683496559543</v>
      </c>
    </row>
    <row r="6" spans="1:27" x14ac:dyDescent="0.25">
      <c r="A6" s="112" t="s">
        <v>113</v>
      </c>
      <c r="B6" s="117">
        <v>22485</v>
      </c>
      <c r="C6" s="117">
        <v>23374</v>
      </c>
      <c r="D6" s="117">
        <v>22726</v>
      </c>
      <c r="E6" s="117">
        <v>24157</v>
      </c>
      <c r="F6" s="117">
        <v>25202</v>
      </c>
      <c r="G6" s="117">
        <v>22778</v>
      </c>
      <c r="H6" s="857">
        <v>22435</v>
      </c>
      <c r="I6" s="857">
        <v>22312</v>
      </c>
      <c r="J6" s="857"/>
      <c r="K6" s="27">
        <f t="shared" si="0"/>
        <v>-0.54825050144863496</v>
      </c>
      <c r="L6" s="27">
        <f t="shared" si="1"/>
        <v>-7.6375377737301875</v>
      </c>
      <c r="M6" s="2">
        <f>I6/I10*100</f>
        <v>5.8441881602279837</v>
      </c>
      <c r="N6" s="164">
        <f t="shared" si="3"/>
        <v>-123</v>
      </c>
      <c r="O6" s="165">
        <f t="shared" si="2"/>
        <v>-1845</v>
      </c>
      <c r="R6" s="1"/>
      <c r="S6" s="112" t="s">
        <v>113</v>
      </c>
      <c r="T6" s="126">
        <f>24486/1000</f>
        <v>24.486000000000001</v>
      </c>
      <c r="V6" s="112" t="s">
        <v>113</v>
      </c>
      <c r="W6" s="852">
        <v>22312</v>
      </c>
      <c r="X6" s="27">
        <f>W6/W10*100</f>
        <v>5.8441881602279837</v>
      </c>
    </row>
    <row r="7" spans="1:27" x14ac:dyDescent="0.25">
      <c r="A7" s="111" t="s">
        <v>118</v>
      </c>
      <c r="B7" s="116">
        <v>45600</v>
      </c>
      <c r="C7" s="116">
        <v>43966</v>
      </c>
      <c r="D7" s="116">
        <v>45149</v>
      </c>
      <c r="E7" s="116">
        <v>49017</v>
      </c>
      <c r="F7" s="116">
        <v>46890</v>
      </c>
      <c r="G7" s="116">
        <v>42134</v>
      </c>
      <c r="H7" s="856">
        <v>40598</v>
      </c>
      <c r="I7" s="856">
        <v>41947</v>
      </c>
      <c r="J7" s="856"/>
      <c r="K7" s="27">
        <f t="shared" si="0"/>
        <v>3.3228237844228801</v>
      </c>
      <c r="L7" s="27">
        <f t="shared" si="1"/>
        <v>-14.423567333782159</v>
      </c>
      <c r="M7" s="2">
        <f>I7/I10*100</f>
        <v>10.987188990546937</v>
      </c>
      <c r="N7" s="164">
        <f t="shared" si="3"/>
        <v>1349</v>
      </c>
      <c r="O7" s="165">
        <f t="shared" si="2"/>
        <v>-7070</v>
      </c>
      <c r="R7" s="1"/>
      <c r="S7" s="155" t="s">
        <v>111</v>
      </c>
      <c r="T7" s="126">
        <f>19195/1000</f>
        <v>19.195</v>
      </c>
      <c r="V7" s="851" t="s">
        <v>799</v>
      </c>
      <c r="W7" s="156">
        <v>41947</v>
      </c>
      <c r="X7" s="27">
        <f>W7/W10*100</f>
        <v>10.987188990546937</v>
      </c>
      <c r="Y7" s="27">
        <f>Z7/W10*100</f>
        <v>6.9516293372378399</v>
      </c>
      <c r="Z7" s="1">
        <f>W7-W8</f>
        <v>26540</v>
      </c>
      <c r="AA7" t="s">
        <v>802</v>
      </c>
    </row>
    <row r="8" spans="1:27" x14ac:dyDescent="0.25">
      <c r="A8" s="113" t="s">
        <v>114</v>
      </c>
      <c r="B8" s="118">
        <v>17381</v>
      </c>
      <c r="C8" s="118">
        <v>16974</v>
      </c>
      <c r="D8" s="118">
        <v>17667</v>
      </c>
      <c r="E8" s="118">
        <v>18942</v>
      </c>
      <c r="F8" s="118">
        <v>16928</v>
      </c>
      <c r="G8" s="118">
        <v>15085</v>
      </c>
      <c r="H8" s="858">
        <v>14825</v>
      </c>
      <c r="I8" s="858">
        <v>15407</v>
      </c>
      <c r="J8" s="858"/>
      <c r="K8" s="27">
        <f t="shared" si="0"/>
        <v>3.9258010118043813</v>
      </c>
      <c r="L8" s="27">
        <f t="shared" si="1"/>
        <v>-18.662232076866232</v>
      </c>
      <c r="M8" s="2">
        <f>I8/I10*100</f>
        <v>4.0355596533090958</v>
      </c>
      <c r="N8" s="164">
        <f t="shared" si="3"/>
        <v>582</v>
      </c>
      <c r="O8" s="165">
        <f t="shared" si="2"/>
        <v>-3535</v>
      </c>
      <c r="R8" s="1"/>
      <c r="S8" s="113" t="s">
        <v>114</v>
      </c>
      <c r="T8" s="126">
        <f>16266/1000</f>
        <v>16.265999999999998</v>
      </c>
      <c r="V8" s="113" t="s">
        <v>114</v>
      </c>
      <c r="W8" s="853">
        <v>15407</v>
      </c>
      <c r="X8" s="27">
        <f>W8/W10*100</f>
        <v>4.0355596533090958</v>
      </c>
    </row>
    <row r="9" spans="1:27" ht="15.75" thickBot="1" x14ac:dyDescent="0.3">
      <c r="A9" s="111" t="s">
        <v>115</v>
      </c>
      <c r="B9" s="119">
        <v>41339</v>
      </c>
      <c r="C9" s="119">
        <v>39961</v>
      </c>
      <c r="D9" s="119">
        <v>43914</v>
      </c>
      <c r="E9" s="119">
        <v>46271</v>
      </c>
      <c r="F9" s="119">
        <v>45878</v>
      </c>
      <c r="G9" s="119">
        <v>48229</v>
      </c>
      <c r="H9" s="859">
        <v>47183</v>
      </c>
      <c r="I9" s="859">
        <v>49446</v>
      </c>
      <c r="J9" s="859"/>
      <c r="K9" s="27">
        <f t="shared" si="0"/>
        <v>4.7962189771739645</v>
      </c>
      <c r="L9" s="27">
        <f t="shared" si="1"/>
        <v>6.8617492597955447</v>
      </c>
      <c r="M9" s="2">
        <f>I9/I10*100</f>
        <v>12.951404077206567</v>
      </c>
      <c r="N9" s="164">
        <f t="shared" si="3"/>
        <v>2263</v>
      </c>
      <c r="O9" s="165">
        <f t="shared" si="2"/>
        <v>3175</v>
      </c>
      <c r="R9" s="1"/>
      <c r="S9" s="155" t="s">
        <v>112</v>
      </c>
      <c r="T9" s="126">
        <f>11798/1000</f>
        <v>11.798</v>
      </c>
      <c r="V9" s="851" t="s">
        <v>115</v>
      </c>
      <c r="W9" s="854">
        <v>49446</v>
      </c>
      <c r="X9" s="27">
        <f>W9/W10*100</f>
        <v>12.951404077206567</v>
      </c>
    </row>
    <row r="10" spans="1:27" ht="15.75" thickBot="1" x14ac:dyDescent="0.3">
      <c r="A10" s="114" t="s">
        <v>116</v>
      </c>
      <c r="B10" s="120">
        <v>390538</v>
      </c>
      <c r="C10" s="120">
        <v>379503</v>
      </c>
      <c r="D10" s="120">
        <v>376524</v>
      </c>
      <c r="E10" s="120">
        <v>405681</v>
      </c>
      <c r="F10" s="120">
        <v>408849</v>
      </c>
      <c r="G10" s="120">
        <v>375462</v>
      </c>
      <c r="H10" s="860">
        <v>368512</v>
      </c>
      <c r="I10" s="860">
        <v>381781</v>
      </c>
      <c r="J10" s="860"/>
      <c r="K10" s="27">
        <f t="shared" si="0"/>
        <v>3.6006968565474011</v>
      </c>
      <c r="L10" s="27">
        <f t="shared" si="1"/>
        <v>-5.8913284082813817</v>
      </c>
      <c r="M10" s="2"/>
      <c r="N10" s="164">
        <f t="shared" si="3"/>
        <v>13269</v>
      </c>
      <c r="O10" s="165">
        <f t="shared" si="2"/>
        <v>-23900</v>
      </c>
      <c r="V10" s="114" t="s">
        <v>116</v>
      </c>
      <c r="W10" s="855">
        <v>381781</v>
      </c>
    </row>
    <row r="12" spans="1:27" ht="15.75" thickBot="1" x14ac:dyDescent="0.3"/>
    <row r="13" spans="1:27" ht="15.75" thickBot="1" x14ac:dyDescent="0.3">
      <c r="A13" t="s">
        <v>120</v>
      </c>
      <c r="B13" s="103" t="s">
        <v>22</v>
      </c>
      <c r="C13" s="103" t="s">
        <v>59</v>
      </c>
      <c r="D13" s="103" t="s">
        <v>178</v>
      </c>
      <c r="E13" s="103" t="s">
        <v>179</v>
      </c>
      <c r="F13" s="103" t="s">
        <v>180</v>
      </c>
      <c r="G13" s="103" t="s">
        <v>168</v>
      </c>
      <c r="H13" s="103" t="s">
        <v>183</v>
      </c>
      <c r="I13" s="103" t="s">
        <v>184</v>
      </c>
      <c r="J13" s="103" t="s">
        <v>804</v>
      </c>
      <c r="K13" s="105" t="s">
        <v>99</v>
      </c>
      <c r="L13" s="105" t="s">
        <v>100</v>
      </c>
      <c r="M13" s="105" t="s">
        <v>170</v>
      </c>
      <c r="N13" s="105" t="s">
        <v>171</v>
      </c>
      <c r="O13" s="105" t="s">
        <v>172</v>
      </c>
    </row>
    <row r="14" spans="1:27" x14ac:dyDescent="0.25">
      <c r="A14" s="110" t="s">
        <v>110</v>
      </c>
      <c r="B14" s="121">
        <v>192953</v>
      </c>
      <c r="C14" s="121">
        <v>186751</v>
      </c>
      <c r="D14" s="121">
        <v>185302</v>
      </c>
      <c r="E14" s="121">
        <v>200037</v>
      </c>
      <c r="F14" s="116">
        <v>214726</v>
      </c>
      <c r="G14" s="116">
        <v>218656</v>
      </c>
      <c r="H14" s="116">
        <v>211147</v>
      </c>
      <c r="I14" s="116">
        <v>237330</v>
      </c>
      <c r="J14" s="116"/>
      <c r="K14" s="27">
        <f>I14/H14*100-100</f>
        <v>12.400365622054778</v>
      </c>
      <c r="L14" s="27">
        <f>I14/E14*100-100</f>
        <v>18.643051035558415</v>
      </c>
      <c r="M14" s="2">
        <f>I14/I22*100</f>
        <v>36.228499203165363</v>
      </c>
      <c r="N14" s="164">
        <f>I14-H14</f>
        <v>26183</v>
      </c>
      <c r="O14" s="165">
        <f>I14-E14</f>
        <v>37293</v>
      </c>
    </row>
    <row r="15" spans="1:27" x14ac:dyDescent="0.25">
      <c r="A15" s="111" t="s">
        <v>117</v>
      </c>
      <c r="B15" s="121">
        <v>204615</v>
      </c>
      <c r="C15" s="121">
        <v>219393</v>
      </c>
      <c r="D15" s="121">
        <v>222483</v>
      </c>
      <c r="E15" s="121">
        <v>240324</v>
      </c>
      <c r="F15" s="116">
        <v>264574</v>
      </c>
      <c r="G15" s="116">
        <v>269544</v>
      </c>
      <c r="H15" s="116">
        <v>261851</v>
      </c>
      <c r="I15" s="116">
        <v>280491</v>
      </c>
      <c r="J15" s="116"/>
      <c r="K15" s="27">
        <f t="shared" ref="K15:K22" si="4">I15/H15*100-100</f>
        <v>7.1185521537057355</v>
      </c>
      <c r="L15" s="27">
        <f t="shared" ref="L15:L22" si="5">I15/E15*100-100</f>
        <v>16.713686523193701</v>
      </c>
      <c r="M15" s="2">
        <f>I15/I22*100</f>
        <v>42.817039438735321</v>
      </c>
      <c r="N15" s="164">
        <f t="shared" ref="N15:N22" si="6">I15-H15</f>
        <v>18640</v>
      </c>
      <c r="O15" s="165">
        <f t="shared" ref="O15:O22" si="7">I15-E15</f>
        <v>40167</v>
      </c>
    </row>
    <row r="16" spans="1:27" x14ac:dyDescent="0.25">
      <c r="A16" s="112" t="s">
        <v>111</v>
      </c>
      <c r="B16" s="122">
        <v>63372</v>
      </c>
      <c r="C16" s="122">
        <v>70777</v>
      </c>
      <c r="D16" s="122">
        <v>72216</v>
      </c>
      <c r="E16" s="122">
        <v>76913</v>
      </c>
      <c r="F16" s="117">
        <v>84355</v>
      </c>
      <c r="G16" s="117">
        <v>84909</v>
      </c>
      <c r="H16" s="117">
        <v>81478</v>
      </c>
      <c r="I16" s="117">
        <v>87335</v>
      </c>
      <c r="J16" s="117"/>
      <c r="K16" s="27">
        <f t="shared" si="4"/>
        <v>7.1884435062225407</v>
      </c>
      <c r="L16" s="27">
        <f t="shared" si="5"/>
        <v>13.550375099137995</v>
      </c>
      <c r="M16" s="2">
        <f>I16/I22*100</f>
        <v>13.331715239996825</v>
      </c>
      <c r="N16" s="164">
        <f t="shared" si="6"/>
        <v>5857</v>
      </c>
      <c r="O16" s="165">
        <f t="shared" si="7"/>
        <v>10422</v>
      </c>
    </row>
    <row r="17" spans="1:15" x14ac:dyDescent="0.25">
      <c r="A17" s="112" t="s">
        <v>112</v>
      </c>
      <c r="B17" s="122">
        <v>69872</v>
      </c>
      <c r="C17" s="122">
        <v>77672</v>
      </c>
      <c r="D17" s="122">
        <v>77002</v>
      </c>
      <c r="E17" s="122">
        <v>84446</v>
      </c>
      <c r="F17" s="117">
        <v>90695</v>
      </c>
      <c r="G17" s="117">
        <v>90666</v>
      </c>
      <c r="H17" s="117">
        <v>90851</v>
      </c>
      <c r="I17" s="117">
        <v>94676</v>
      </c>
      <c r="J17" s="117"/>
      <c r="K17" s="27">
        <f t="shared" si="4"/>
        <v>4.210190311609125</v>
      </c>
      <c r="L17" s="27">
        <f t="shared" si="5"/>
        <v>12.114250526963971</v>
      </c>
      <c r="M17" s="2">
        <f>I17/I22*100</f>
        <v>14.452321200686317</v>
      </c>
      <c r="N17" s="164">
        <f t="shared" si="6"/>
        <v>3825</v>
      </c>
      <c r="O17" s="165">
        <f t="shared" si="7"/>
        <v>10230</v>
      </c>
    </row>
    <row r="18" spans="1:15" x14ac:dyDescent="0.25">
      <c r="A18" s="112" t="s">
        <v>113</v>
      </c>
      <c r="B18" s="122">
        <v>65315</v>
      </c>
      <c r="C18" s="122">
        <v>64622</v>
      </c>
      <c r="D18" s="122">
        <v>67360</v>
      </c>
      <c r="E18" s="122">
        <v>72563</v>
      </c>
      <c r="F18" s="117">
        <v>82693</v>
      </c>
      <c r="G18" s="117">
        <v>87050</v>
      </c>
      <c r="H18" s="117">
        <v>81999</v>
      </c>
      <c r="I18" s="117">
        <v>90477</v>
      </c>
      <c r="J18" s="117"/>
      <c r="K18" s="27">
        <f t="shared" si="4"/>
        <v>10.339150477444846</v>
      </c>
      <c r="L18" s="27">
        <f t="shared" si="5"/>
        <v>24.687512919807617</v>
      </c>
      <c r="M18" s="2">
        <f>I18/I22*100</f>
        <v>13.811342528988293</v>
      </c>
      <c r="N18" s="164">
        <f t="shared" si="6"/>
        <v>8478</v>
      </c>
      <c r="O18" s="165">
        <f t="shared" si="7"/>
        <v>17914</v>
      </c>
    </row>
    <row r="19" spans="1:15" x14ac:dyDescent="0.25">
      <c r="A19" s="111" t="s">
        <v>118</v>
      </c>
      <c r="B19" s="121">
        <v>36799</v>
      </c>
      <c r="C19" s="121">
        <v>40160</v>
      </c>
      <c r="D19" s="121">
        <v>40927</v>
      </c>
      <c r="E19" s="121">
        <v>45948</v>
      </c>
      <c r="F19" s="116">
        <v>46905</v>
      </c>
      <c r="G19" s="116">
        <v>46617</v>
      </c>
      <c r="H19" s="116">
        <v>46887</v>
      </c>
      <c r="I19" s="116">
        <v>47198</v>
      </c>
      <c r="J19" s="116"/>
      <c r="K19" s="27">
        <f t="shared" si="4"/>
        <v>0.66329686266981014</v>
      </c>
      <c r="L19" s="27">
        <f t="shared" si="5"/>
        <v>2.720466614433704</v>
      </c>
      <c r="M19" s="2">
        <f>I19/I22*100</f>
        <v>7.2047895562760642</v>
      </c>
      <c r="N19" s="164">
        <f t="shared" si="6"/>
        <v>311</v>
      </c>
      <c r="O19" s="165">
        <f t="shared" si="7"/>
        <v>1250</v>
      </c>
    </row>
    <row r="20" spans="1:15" x14ac:dyDescent="0.25">
      <c r="A20" s="113" t="s">
        <v>114</v>
      </c>
      <c r="B20" s="123">
        <v>24949</v>
      </c>
      <c r="C20" s="123">
        <v>28540</v>
      </c>
      <c r="D20" s="123">
        <v>28794</v>
      </c>
      <c r="E20" s="123">
        <v>33165</v>
      </c>
      <c r="F20" s="118">
        <v>32814</v>
      </c>
      <c r="G20" s="118">
        <v>26820</v>
      </c>
      <c r="H20" s="118">
        <v>26730</v>
      </c>
      <c r="I20" s="118">
        <v>28098</v>
      </c>
      <c r="J20" s="118"/>
      <c r="K20" s="27">
        <f t="shared" si="4"/>
        <v>5.1178451178451212</v>
      </c>
      <c r="L20" s="27">
        <f t="shared" si="5"/>
        <v>-15.278154681139753</v>
      </c>
      <c r="M20" s="2">
        <f>I20/I22*100</f>
        <v>4.2891685442655385</v>
      </c>
      <c r="N20" s="164">
        <f t="shared" si="6"/>
        <v>1368</v>
      </c>
      <c r="O20" s="165">
        <f t="shared" si="7"/>
        <v>-5067</v>
      </c>
    </row>
    <row r="21" spans="1:15" ht="15.75" thickBot="1" x14ac:dyDescent="0.3">
      <c r="A21" s="111" t="s">
        <v>115</v>
      </c>
      <c r="B21" s="124">
        <v>70017</v>
      </c>
      <c r="C21" s="124">
        <v>74206</v>
      </c>
      <c r="D21" s="124">
        <v>76923</v>
      </c>
      <c r="E21" s="124">
        <v>79801</v>
      </c>
      <c r="F21" s="119">
        <v>90454</v>
      </c>
      <c r="G21" s="119">
        <v>94346</v>
      </c>
      <c r="H21" s="119">
        <v>93205</v>
      </c>
      <c r="I21" s="119">
        <v>90073</v>
      </c>
      <c r="J21" s="119"/>
      <c r="K21" s="27">
        <f t="shared" si="4"/>
        <v>-3.3603347459900306</v>
      </c>
      <c r="L21" s="27">
        <f t="shared" si="5"/>
        <v>12.872019147629715</v>
      </c>
      <c r="M21" s="2">
        <f>I21/I22*100</f>
        <v>13.749671801823254</v>
      </c>
      <c r="N21" s="164">
        <f t="shared" si="6"/>
        <v>-3132</v>
      </c>
      <c r="O21" s="165">
        <f t="shared" si="7"/>
        <v>10272</v>
      </c>
    </row>
    <row r="22" spans="1:15" ht="15.75" thickBot="1" x14ac:dyDescent="0.3">
      <c r="A22" s="114" t="s">
        <v>116</v>
      </c>
      <c r="B22" s="125">
        <v>504384</v>
      </c>
      <c r="C22" s="125">
        <v>520509</v>
      </c>
      <c r="D22" s="125">
        <v>525635</v>
      </c>
      <c r="E22" s="125">
        <v>566110</v>
      </c>
      <c r="F22" s="120">
        <v>616659</v>
      </c>
      <c r="G22" s="120">
        <v>629163</v>
      </c>
      <c r="H22" s="120">
        <v>613091</v>
      </c>
      <c r="I22" s="120">
        <v>655092</v>
      </c>
      <c r="J22" s="120"/>
      <c r="K22" s="27">
        <f t="shared" si="4"/>
        <v>6.850695899956122</v>
      </c>
      <c r="L22" s="27">
        <f t="shared" si="5"/>
        <v>15.718146649944359</v>
      </c>
      <c r="M22" s="2">
        <f>E22/$E$22*100</f>
        <v>100</v>
      </c>
      <c r="N22" s="164">
        <f t="shared" si="6"/>
        <v>42001</v>
      </c>
      <c r="O22" s="165">
        <f t="shared" si="7"/>
        <v>88982</v>
      </c>
    </row>
    <row r="24" spans="1:15" ht="15.75" thickBot="1" x14ac:dyDescent="0.3">
      <c r="N24" s="126">
        <f>I16+I17+I18</f>
        <v>272488</v>
      </c>
    </row>
    <row r="25" spans="1:15" ht="15.75" thickBot="1" x14ac:dyDescent="0.3">
      <c r="A25" t="s">
        <v>121</v>
      </c>
      <c r="B25" s="103" t="s">
        <v>22</v>
      </c>
      <c r="C25" s="103" t="s">
        <v>59</v>
      </c>
      <c r="D25" s="103" t="s">
        <v>49</v>
      </c>
      <c r="E25" s="103" t="s">
        <v>104</v>
      </c>
      <c r="F25" s="103" t="s">
        <v>141</v>
      </c>
      <c r="G25" s="103" t="s">
        <v>168</v>
      </c>
      <c r="H25" s="103" t="s">
        <v>169</v>
      </c>
      <c r="I25" s="103" t="s">
        <v>184</v>
      </c>
      <c r="J25" s="103" t="s">
        <v>804</v>
      </c>
      <c r="K25" s="105" t="s">
        <v>99</v>
      </c>
      <c r="L25" s="105" t="s">
        <v>100</v>
      </c>
      <c r="N25" s="126">
        <f>I15-N24</f>
        <v>8003</v>
      </c>
      <c r="O25">
        <f>N25/I22*100</f>
        <v>1.2216604690638873</v>
      </c>
    </row>
    <row r="26" spans="1:15" x14ac:dyDescent="0.25">
      <c r="A26" s="110" t="s">
        <v>110</v>
      </c>
      <c r="B26" s="115">
        <f>B2+B14</f>
        <v>430869</v>
      </c>
      <c r="C26" s="115">
        <f>C2+C14</f>
        <v>416473</v>
      </c>
      <c r="D26" s="115">
        <f t="shared" ref="D26:E26" si="8">D2+D14</f>
        <v>407151</v>
      </c>
      <c r="E26" s="115">
        <f t="shared" si="8"/>
        <v>442446</v>
      </c>
      <c r="F26" s="115">
        <f>F2+F14</f>
        <v>462062</v>
      </c>
      <c r="G26" s="115">
        <f>G2+G14</f>
        <v>440348</v>
      </c>
      <c r="H26" s="115">
        <f>H2+H14</f>
        <v>429911</v>
      </c>
      <c r="I26" s="115"/>
      <c r="J26" s="115"/>
      <c r="K26" s="27">
        <f>F26/E26*100-100</f>
        <v>4.4335353918896487</v>
      </c>
      <c r="L26" s="27">
        <f>F26/B26*100-100</f>
        <v>7.2395554101130557</v>
      </c>
    </row>
    <row r="27" spans="1:15" x14ac:dyDescent="0.25">
      <c r="A27" s="111" t="s">
        <v>117</v>
      </c>
      <c r="B27" s="115">
        <f t="shared" ref="B27:B33" si="9">B3+B15</f>
        <v>270297</v>
      </c>
      <c r="C27" s="115">
        <f t="shared" ref="C27:F34" si="10">C3+C15</f>
        <v>285246</v>
      </c>
      <c r="D27" s="115">
        <f t="shared" si="10"/>
        <v>288095</v>
      </c>
      <c r="E27" s="115">
        <f t="shared" si="10"/>
        <v>308308</v>
      </c>
      <c r="F27" s="115">
        <f>F3+F15</f>
        <v>333320</v>
      </c>
      <c r="G27" s="115">
        <f t="shared" ref="G27:H34" si="11">G3+G15</f>
        <v>332951</v>
      </c>
      <c r="H27" s="115">
        <f t="shared" si="11"/>
        <v>323819</v>
      </c>
      <c r="I27" s="115"/>
      <c r="J27" s="115"/>
      <c r="K27" s="27">
        <f t="shared" ref="K27:K34" si="12">F27/E27*100-100</f>
        <v>8.1126665542250009</v>
      </c>
      <c r="L27" s="27">
        <f t="shared" ref="L27:L34" si="13">F27/B27*100-100</f>
        <v>23.316204027421691</v>
      </c>
    </row>
    <row r="28" spans="1:15" x14ac:dyDescent="0.25">
      <c r="A28" s="112" t="s">
        <v>111</v>
      </c>
      <c r="B28" s="115">
        <f t="shared" si="9"/>
        <v>82464</v>
      </c>
      <c r="C28" s="115">
        <f t="shared" si="10"/>
        <v>90002</v>
      </c>
      <c r="D28" s="115">
        <f t="shared" si="10"/>
        <v>91844</v>
      </c>
      <c r="E28" s="115">
        <f t="shared" si="10"/>
        <v>96590</v>
      </c>
      <c r="F28" s="115">
        <f t="shared" si="10"/>
        <v>103053</v>
      </c>
      <c r="G28" s="115">
        <f t="shared" si="11"/>
        <v>103001</v>
      </c>
      <c r="H28" s="115">
        <f t="shared" si="11"/>
        <v>99006</v>
      </c>
      <c r="I28" s="115"/>
      <c r="J28" s="115"/>
      <c r="K28" s="27">
        <f t="shared" si="12"/>
        <v>6.6911688580598536</v>
      </c>
      <c r="L28" s="27">
        <f t="shared" si="13"/>
        <v>24.967258440046564</v>
      </c>
    </row>
    <row r="29" spans="1:15" x14ac:dyDescent="0.25">
      <c r="A29" s="112" t="s">
        <v>112</v>
      </c>
      <c r="B29" s="115">
        <f t="shared" si="9"/>
        <v>81322</v>
      </c>
      <c r="C29" s="115">
        <f t="shared" si="10"/>
        <v>88969</v>
      </c>
      <c r="D29" s="115">
        <f t="shared" si="10"/>
        <v>88939</v>
      </c>
      <c r="E29" s="115">
        <f t="shared" si="10"/>
        <v>96250</v>
      </c>
      <c r="F29" s="115">
        <f t="shared" si="10"/>
        <v>102731</v>
      </c>
      <c r="G29" s="115">
        <f t="shared" si="11"/>
        <v>101940</v>
      </c>
      <c r="H29" s="115">
        <f t="shared" si="11"/>
        <v>102000</v>
      </c>
      <c r="I29" s="115"/>
      <c r="J29" s="115"/>
      <c r="K29" s="27">
        <f t="shared" si="12"/>
        <v>6.7335064935064963</v>
      </c>
      <c r="L29" s="27">
        <f t="shared" si="13"/>
        <v>26.326209389833011</v>
      </c>
    </row>
    <row r="30" spans="1:15" x14ac:dyDescent="0.25">
      <c r="A30" s="112" t="s">
        <v>113</v>
      </c>
      <c r="B30" s="115">
        <f t="shared" si="9"/>
        <v>87800</v>
      </c>
      <c r="C30" s="115">
        <f t="shared" si="10"/>
        <v>87996</v>
      </c>
      <c r="D30" s="115">
        <f t="shared" si="10"/>
        <v>90086</v>
      </c>
      <c r="E30" s="115">
        <f t="shared" si="10"/>
        <v>96720</v>
      </c>
      <c r="F30" s="115">
        <f t="shared" si="10"/>
        <v>107895</v>
      </c>
      <c r="G30" s="115">
        <f t="shared" si="11"/>
        <v>109828</v>
      </c>
      <c r="H30" s="115">
        <f t="shared" si="11"/>
        <v>104434</v>
      </c>
      <c r="I30" s="115"/>
      <c r="J30" s="115"/>
      <c r="K30" s="27">
        <f t="shared" si="12"/>
        <v>11.553970223325067</v>
      </c>
      <c r="L30" s="27">
        <f t="shared" si="13"/>
        <v>22.887243735763093</v>
      </c>
    </row>
    <row r="31" spans="1:15" x14ac:dyDescent="0.25">
      <c r="A31" s="111" t="s">
        <v>118</v>
      </c>
      <c r="B31" s="115">
        <f t="shared" si="9"/>
        <v>82399</v>
      </c>
      <c r="C31" s="115">
        <f t="shared" si="10"/>
        <v>84126</v>
      </c>
      <c r="D31" s="115">
        <f t="shared" si="10"/>
        <v>86076</v>
      </c>
      <c r="E31" s="115">
        <f t="shared" si="10"/>
        <v>94965</v>
      </c>
      <c r="F31" s="115">
        <f t="shared" si="10"/>
        <v>93795</v>
      </c>
      <c r="G31" s="115">
        <f t="shared" si="11"/>
        <v>88751</v>
      </c>
      <c r="H31" s="115">
        <f t="shared" si="11"/>
        <v>87485</v>
      </c>
      <c r="I31" s="115"/>
      <c r="J31" s="115"/>
      <c r="K31" s="27">
        <f t="shared" si="12"/>
        <v>-1.2320328542094359</v>
      </c>
      <c r="L31" s="27">
        <f t="shared" si="13"/>
        <v>13.83026493039965</v>
      </c>
    </row>
    <row r="32" spans="1:15" x14ac:dyDescent="0.25">
      <c r="A32" s="113" t="s">
        <v>114</v>
      </c>
      <c r="B32" s="115">
        <f t="shared" si="9"/>
        <v>42330</v>
      </c>
      <c r="C32" s="115">
        <f t="shared" si="10"/>
        <v>45514</v>
      </c>
      <c r="D32" s="115">
        <f t="shared" si="10"/>
        <v>46461</v>
      </c>
      <c r="E32" s="115">
        <f t="shared" si="10"/>
        <v>52107</v>
      </c>
      <c r="F32" s="115">
        <f t="shared" si="10"/>
        <v>49742</v>
      </c>
      <c r="G32" s="115">
        <f t="shared" si="11"/>
        <v>41905</v>
      </c>
      <c r="H32" s="115">
        <f t="shared" si="11"/>
        <v>41555</v>
      </c>
      <c r="I32" s="115"/>
      <c r="J32" s="115"/>
      <c r="K32" s="27">
        <f t="shared" si="12"/>
        <v>-4.538737597635631</v>
      </c>
      <c r="L32" s="27">
        <f t="shared" si="13"/>
        <v>17.510040160642575</v>
      </c>
    </row>
    <row r="33" spans="1:14" ht="15.75" thickBot="1" x14ac:dyDescent="0.3">
      <c r="A33" s="111" t="s">
        <v>115</v>
      </c>
      <c r="B33" s="115">
        <f t="shared" si="9"/>
        <v>111356</v>
      </c>
      <c r="C33" s="115">
        <f t="shared" si="10"/>
        <v>114167</v>
      </c>
      <c r="D33" s="115">
        <f t="shared" si="10"/>
        <v>120837</v>
      </c>
      <c r="E33" s="115">
        <f t="shared" si="10"/>
        <v>126072</v>
      </c>
      <c r="F33" s="115">
        <f t="shared" si="10"/>
        <v>136332</v>
      </c>
      <c r="G33" s="115">
        <f t="shared" si="11"/>
        <v>142575</v>
      </c>
      <c r="H33" s="115">
        <f t="shared" si="11"/>
        <v>140388</v>
      </c>
      <c r="I33" s="115"/>
      <c r="J33" s="115"/>
      <c r="K33" s="27">
        <f t="shared" si="12"/>
        <v>8.1382067390062929</v>
      </c>
      <c r="L33" s="27">
        <f t="shared" si="13"/>
        <v>22.428966557706815</v>
      </c>
    </row>
    <row r="34" spans="1:14" ht="15.75" thickBot="1" x14ac:dyDescent="0.3">
      <c r="A34" s="114" t="s">
        <v>116</v>
      </c>
      <c r="B34" s="115">
        <f>B26+B27+B31+B33</f>
        <v>894921</v>
      </c>
      <c r="C34" s="115">
        <f t="shared" si="10"/>
        <v>900012</v>
      </c>
      <c r="D34" s="115">
        <f t="shared" si="10"/>
        <v>902159</v>
      </c>
      <c r="E34" s="115">
        <f t="shared" si="10"/>
        <v>971791</v>
      </c>
      <c r="F34" s="115">
        <f t="shared" si="10"/>
        <v>1025508</v>
      </c>
      <c r="G34" s="115">
        <f t="shared" si="11"/>
        <v>1004625</v>
      </c>
      <c r="H34" s="115">
        <f t="shared" si="11"/>
        <v>981603</v>
      </c>
      <c r="I34" s="115"/>
      <c r="J34" s="115"/>
      <c r="K34" s="27">
        <f t="shared" si="12"/>
        <v>5.5276288831652067</v>
      </c>
      <c r="L34" s="27">
        <f t="shared" si="13"/>
        <v>14.592014267181128</v>
      </c>
    </row>
    <row r="39" spans="1:14" ht="15.75" thickBot="1" x14ac:dyDescent="0.3">
      <c r="A39" t="s">
        <v>140</v>
      </c>
    </row>
    <row r="40" spans="1:14" ht="15.75" thickBot="1" x14ac:dyDescent="0.3">
      <c r="A40" t="s">
        <v>119</v>
      </c>
      <c r="B40" s="103" t="s">
        <v>22</v>
      </c>
      <c r="C40" s="103" t="s">
        <v>59</v>
      </c>
      <c r="D40" s="103" t="s">
        <v>49</v>
      </c>
      <c r="E40" s="103" t="s">
        <v>104</v>
      </c>
      <c r="F40" s="103" t="s">
        <v>141</v>
      </c>
      <c r="G40" s="103" t="s">
        <v>158</v>
      </c>
      <c r="H40" s="105"/>
      <c r="I40" s="105"/>
      <c r="J40" s="105"/>
      <c r="K40" s="105" t="s">
        <v>99</v>
      </c>
      <c r="L40" s="105" t="s">
        <v>100</v>
      </c>
    </row>
    <row r="41" spans="1:14" x14ac:dyDescent="0.25">
      <c r="A41" s="110" t="s">
        <v>110</v>
      </c>
      <c r="B41" s="142">
        <v>18228</v>
      </c>
      <c r="C41" s="142">
        <v>23232</v>
      </c>
      <c r="D41" s="116">
        <v>9383</v>
      </c>
      <c r="E41" s="142">
        <v>20902</v>
      </c>
      <c r="F41" s="116">
        <v>24172</v>
      </c>
      <c r="G41" s="116">
        <v>21826</v>
      </c>
      <c r="H41" s="158"/>
      <c r="I41" s="158"/>
      <c r="J41" s="158"/>
      <c r="K41" s="27">
        <f t="shared" ref="K41:K49" si="14">E41/D41*100-100</f>
        <v>122.76457422999042</v>
      </c>
      <c r="L41" s="27">
        <f t="shared" ref="L41:L49" si="15">E41/C41*100-100</f>
        <v>-10.0292699724518</v>
      </c>
      <c r="M41" s="2">
        <f>E41/$E$10*100</f>
        <v>5.1523241167321121</v>
      </c>
      <c r="N41" s="126">
        <f t="shared" ref="N41:N49" si="16">E41-C41</f>
        <v>-2330</v>
      </c>
    </row>
    <row r="42" spans="1:14" x14ac:dyDescent="0.25">
      <c r="A42" s="111" t="s">
        <v>117</v>
      </c>
      <c r="B42" s="142">
        <v>6333</v>
      </c>
      <c r="C42" s="142">
        <v>8476</v>
      </c>
      <c r="D42" s="116">
        <v>4763</v>
      </c>
      <c r="E42" s="142">
        <v>6415</v>
      </c>
      <c r="F42" s="116">
        <v>5998</v>
      </c>
      <c r="G42" s="116">
        <v>6848</v>
      </c>
      <c r="H42" s="158"/>
      <c r="I42" s="158"/>
      <c r="J42" s="158"/>
      <c r="K42" s="27">
        <f t="shared" si="14"/>
        <v>34.684022674784813</v>
      </c>
      <c r="L42" s="27">
        <f t="shared" si="15"/>
        <v>-24.315714959886733</v>
      </c>
      <c r="M42" s="2">
        <f t="shared" ref="M42:M49" si="17">E42/$E$10*100</f>
        <v>1.5812917045659027</v>
      </c>
      <c r="N42" s="126">
        <f t="shared" si="16"/>
        <v>-2061</v>
      </c>
    </row>
    <row r="43" spans="1:14" x14ac:dyDescent="0.25">
      <c r="A43" s="112" t="s">
        <v>111</v>
      </c>
      <c r="B43" s="143">
        <v>2737</v>
      </c>
      <c r="C43" s="143">
        <v>2340</v>
      </c>
      <c r="D43" s="117">
        <v>2072</v>
      </c>
      <c r="E43" s="143">
        <v>1674</v>
      </c>
      <c r="F43" s="117">
        <v>1795</v>
      </c>
      <c r="G43" s="117">
        <v>2248</v>
      </c>
      <c r="H43" s="159"/>
      <c r="I43" s="159"/>
      <c r="J43" s="159"/>
      <c r="K43" s="27">
        <f t="shared" si="14"/>
        <v>-19.208494208494216</v>
      </c>
      <c r="L43" s="27">
        <f t="shared" si="15"/>
        <v>-28.461538461538467</v>
      </c>
      <c r="M43" s="2">
        <f t="shared" si="17"/>
        <v>0.41263948767627762</v>
      </c>
      <c r="N43" s="126">
        <f t="shared" si="16"/>
        <v>-666</v>
      </c>
    </row>
    <row r="44" spans="1:14" x14ac:dyDescent="0.25">
      <c r="A44" s="112" t="s">
        <v>112</v>
      </c>
      <c r="B44" s="143">
        <v>828</v>
      </c>
      <c r="C44" s="143">
        <v>1154</v>
      </c>
      <c r="D44" s="117">
        <v>722</v>
      </c>
      <c r="E44" s="143">
        <v>1038</v>
      </c>
      <c r="F44" s="117">
        <v>986</v>
      </c>
      <c r="G44" s="117">
        <v>1273</v>
      </c>
      <c r="H44" s="159"/>
      <c r="I44" s="159"/>
      <c r="J44" s="159"/>
      <c r="K44" s="27">
        <f t="shared" si="14"/>
        <v>43.767313019390599</v>
      </c>
      <c r="L44" s="27">
        <f t="shared" si="15"/>
        <v>-10.051993067590985</v>
      </c>
      <c r="M44" s="2">
        <f t="shared" si="17"/>
        <v>0.25586606225088182</v>
      </c>
      <c r="N44" s="126">
        <f t="shared" si="16"/>
        <v>-116</v>
      </c>
    </row>
    <row r="45" spans="1:14" x14ac:dyDescent="0.25">
      <c r="A45" s="112" t="s">
        <v>113</v>
      </c>
      <c r="B45" s="143">
        <v>1819</v>
      </c>
      <c r="C45" s="143">
        <v>3717</v>
      </c>
      <c r="D45" s="117">
        <v>1470</v>
      </c>
      <c r="E45" s="143">
        <v>2710</v>
      </c>
      <c r="F45" s="117">
        <v>2071</v>
      </c>
      <c r="G45" s="117">
        <v>2397</v>
      </c>
      <c r="H45" s="159"/>
      <c r="I45" s="159"/>
      <c r="J45" s="159"/>
      <c r="K45" s="27">
        <f t="shared" si="14"/>
        <v>84.353741496598644</v>
      </c>
      <c r="L45" s="27">
        <f t="shared" si="15"/>
        <v>-27.091740651062693</v>
      </c>
      <c r="M45" s="2">
        <f t="shared" si="17"/>
        <v>0.66801255173399798</v>
      </c>
      <c r="N45" s="126">
        <f t="shared" si="16"/>
        <v>-1007</v>
      </c>
    </row>
    <row r="46" spans="1:14" x14ac:dyDescent="0.25">
      <c r="A46" s="111" t="s">
        <v>118</v>
      </c>
      <c r="B46" s="142">
        <v>3919</v>
      </c>
      <c r="C46" s="142">
        <v>5031</v>
      </c>
      <c r="D46" s="116">
        <v>2385</v>
      </c>
      <c r="E46" s="142">
        <v>3913</v>
      </c>
      <c r="F46" s="116">
        <v>4162</v>
      </c>
      <c r="G46" s="116">
        <v>5086</v>
      </c>
      <c r="H46" s="158"/>
      <c r="I46" s="158"/>
      <c r="J46" s="158"/>
      <c r="K46" s="27">
        <f t="shared" si="14"/>
        <v>64.067085953878404</v>
      </c>
      <c r="L46" s="27">
        <f t="shared" si="15"/>
        <v>-22.222222222222214</v>
      </c>
      <c r="M46" s="2">
        <f t="shared" si="17"/>
        <v>0.96455096492071357</v>
      </c>
      <c r="N46" s="126">
        <f t="shared" si="16"/>
        <v>-1118</v>
      </c>
    </row>
    <row r="47" spans="1:14" x14ac:dyDescent="0.25">
      <c r="A47" s="113" t="s">
        <v>114</v>
      </c>
      <c r="B47" s="144">
        <v>1775</v>
      </c>
      <c r="C47" s="144">
        <v>1795</v>
      </c>
      <c r="D47" s="118">
        <v>974</v>
      </c>
      <c r="E47" s="144">
        <v>1557</v>
      </c>
      <c r="F47" s="118">
        <v>1667</v>
      </c>
      <c r="G47" s="118">
        <v>2199</v>
      </c>
      <c r="H47" s="160"/>
      <c r="I47" s="160"/>
      <c r="J47" s="160"/>
      <c r="K47" s="27">
        <f t="shared" si="14"/>
        <v>59.856262833675544</v>
      </c>
      <c r="L47" s="27">
        <f t="shared" si="15"/>
        <v>-13.259052924791078</v>
      </c>
      <c r="M47" s="2">
        <f t="shared" si="17"/>
        <v>0.38379909337632279</v>
      </c>
      <c r="N47" s="126">
        <f t="shared" si="16"/>
        <v>-238</v>
      </c>
    </row>
    <row r="48" spans="1:14" ht="15.75" thickBot="1" x14ac:dyDescent="0.3">
      <c r="A48" s="111" t="s">
        <v>115</v>
      </c>
      <c r="B48" s="145">
        <v>5715</v>
      </c>
      <c r="C48" s="145">
        <v>5076</v>
      </c>
      <c r="D48" s="119">
        <v>2894</v>
      </c>
      <c r="E48" s="145">
        <v>4804</v>
      </c>
      <c r="F48" s="119">
        <v>5329</v>
      </c>
      <c r="G48" s="119">
        <v>4894</v>
      </c>
      <c r="H48" s="158"/>
      <c r="I48" s="158"/>
      <c r="J48" s="158"/>
      <c r="K48" s="27">
        <f t="shared" si="14"/>
        <v>65.998617829993066</v>
      </c>
      <c r="L48" s="27">
        <f t="shared" si="15"/>
        <v>-5.358550039401095</v>
      </c>
      <c r="M48" s="2">
        <f t="shared" si="17"/>
        <v>1.1841816599742161</v>
      </c>
      <c r="N48" s="126">
        <f t="shared" si="16"/>
        <v>-272</v>
      </c>
    </row>
    <row r="49" spans="1:14" ht="15.75" thickBot="1" x14ac:dyDescent="0.3">
      <c r="A49" s="114" t="s">
        <v>116</v>
      </c>
      <c r="B49" s="146">
        <v>34195</v>
      </c>
      <c r="C49" s="146">
        <v>41815</v>
      </c>
      <c r="D49" s="120">
        <v>19425</v>
      </c>
      <c r="E49" s="146">
        <v>36035</v>
      </c>
      <c r="F49" s="120">
        <v>39662</v>
      </c>
      <c r="G49" s="120">
        <v>38654</v>
      </c>
      <c r="H49" s="158"/>
      <c r="I49" s="158"/>
      <c r="J49" s="158"/>
      <c r="K49" s="27">
        <f t="shared" si="14"/>
        <v>85.5083655083655</v>
      </c>
      <c r="L49" s="27">
        <f t="shared" si="15"/>
        <v>-13.822790864522304</v>
      </c>
      <c r="M49" s="2">
        <f t="shared" si="17"/>
        <v>8.8825949452895259</v>
      </c>
      <c r="N49" s="126">
        <f t="shared" si="16"/>
        <v>-5780</v>
      </c>
    </row>
    <row r="51" spans="1:14" ht="15.75" thickBot="1" x14ac:dyDescent="0.3"/>
    <row r="52" spans="1:14" ht="15.75" thickBot="1" x14ac:dyDescent="0.3">
      <c r="A52" t="s">
        <v>120</v>
      </c>
      <c r="B52" s="103" t="s">
        <v>22</v>
      </c>
      <c r="C52" s="103" t="s">
        <v>59</v>
      </c>
      <c r="D52" s="103" t="s">
        <v>49</v>
      </c>
      <c r="E52" s="103" t="s">
        <v>104</v>
      </c>
      <c r="F52" s="103" t="s">
        <v>141</v>
      </c>
      <c r="G52" s="103" t="s">
        <v>158</v>
      </c>
      <c r="H52" s="105"/>
      <c r="I52" s="105"/>
      <c r="J52" s="105"/>
      <c r="K52" s="105" t="s">
        <v>99</v>
      </c>
      <c r="L52" s="105" t="s">
        <v>100</v>
      </c>
    </row>
    <row r="53" spans="1:14" x14ac:dyDescent="0.25">
      <c r="A53" s="110" t="s">
        <v>110</v>
      </c>
      <c r="B53" s="142">
        <v>30885</v>
      </c>
      <c r="C53" s="142">
        <v>19758</v>
      </c>
      <c r="D53" s="121">
        <v>11418</v>
      </c>
      <c r="E53" s="142">
        <v>21926</v>
      </c>
      <c r="F53" s="142">
        <v>22109</v>
      </c>
      <c r="G53" s="142">
        <v>30597</v>
      </c>
      <c r="H53" s="161"/>
      <c r="I53" s="161"/>
      <c r="J53" s="161"/>
      <c r="K53" s="27">
        <f t="shared" ref="K53:K61" si="18">E53/D53*100-100</f>
        <v>92.030127868278157</v>
      </c>
      <c r="L53" s="27">
        <f t="shared" ref="L53:L61" si="19">E53/C53*100-100</f>
        <v>10.972770523332315</v>
      </c>
    </row>
    <row r="54" spans="1:14" x14ac:dyDescent="0.25">
      <c r="A54" s="111" t="s">
        <v>117</v>
      </c>
      <c r="B54" s="142">
        <v>22732</v>
      </c>
      <c r="C54" s="142">
        <v>26431</v>
      </c>
      <c r="D54" s="121">
        <v>20678</v>
      </c>
      <c r="E54" s="142">
        <v>20705</v>
      </c>
      <c r="F54" s="142">
        <v>24896</v>
      </c>
      <c r="G54" s="142">
        <v>41136</v>
      </c>
      <c r="H54" s="161"/>
      <c r="I54" s="161"/>
      <c r="J54" s="161"/>
      <c r="K54" s="27">
        <f t="shared" si="18"/>
        <v>0.13057355643680069</v>
      </c>
      <c r="L54" s="27">
        <f t="shared" si="19"/>
        <v>-21.663955204116377</v>
      </c>
    </row>
    <row r="55" spans="1:14" x14ac:dyDescent="0.25">
      <c r="A55" s="112" t="s">
        <v>111</v>
      </c>
      <c r="B55" s="143">
        <v>9730</v>
      </c>
      <c r="C55" s="143">
        <v>10221</v>
      </c>
      <c r="D55" s="122">
        <v>5864</v>
      </c>
      <c r="E55" s="143">
        <v>5864</v>
      </c>
      <c r="F55" s="143">
        <v>10618</v>
      </c>
      <c r="G55" s="143">
        <v>13530</v>
      </c>
      <c r="H55" s="162"/>
      <c r="I55" s="162"/>
      <c r="J55" s="162"/>
      <c r="K55" s="27">
        <f t="shared" si="18"/>
        <v>0</v>
      </c>
      <c r="L55" s="27">
        <f t="shared" si="19"/>
        <v>-42.627922903825457</v>
      </c>
    </row>
    <row r="56" spans="1:14" x14ac:dyDescent="0.25">
      <c r="A56" s="112" t="s">
        <v>112</v>
      </c>
      <c r="B56" s="143">
        <v>5827</v>
      </c>
      <c r="C56" s="143">
        <v>6299</v>
      </c>
      <c r="D56" s="122">
        <v>5867</v>
      </c>
      <c r="E56" s="143">
        <v>8248</v>
      </c>
      <c r="F56" s="143">
        <v>4976</v>
      </c>
      <c r="G56" s="143">
        <v>18800</v>
      </c>
      <c r="H56" s="162"/>
      <c r="I56" s="162"/>
      <c r="J56" s="162"/>
      <c r="K56" s="27">
        <f t="shared" si="18"/>
        <v>40.58292142491905</v>
      </c>
      <c r="L56" s="27">
        <f t="shared" si="19"/>
        <v>30.941419272900475</v>
      </c>
    </row>
    <row r="57" spans="1:14" x14ac:dyDescent="0.25">
      <c r="A57" s="112" t="s">
        <v>113</v>
      </c>
      <c r="B57" s="143">
        <v>6685</v>
      </c>
      <c r="C57" s="143">
        <v>8778</v>
      </c>
      <c r="D57" s="122">
        <v>8296</v>
      </c>
      <c r="E57" s="143">
        <v>5879</v>
      </c>
      <c r="F57" s="143">
        <v>9089</v>
      </c>
      <c r="G57" s="143">
        <v>8133</v>
      </c>
      <c r="H57" s="162"/>
      <c r="I57" s="162"/>
      <c r="J57" s="162"/>
      <c r="K57" s="27">
        <f t="shared" si="18"/>
        <v>-29.134522661523619</v>
      </c>
      <c r="L57" s="27">
        <f t="shared" si="19"/>
        <v>-33.025746183640919</v>
      </c>
    </row>
    <row r="58" spans="1:14" x14ac:dyDescent="0.25">
      <c r="A58" s="111" t="s">
        <v>118</v>
      </c>
      <c r="B58" s="142">
        <v>2642</v>
      </c>
      <c r="C58" s="142">
        <v>7291</v>
      </c>
      <c r="D58" s="121">
        <v>4448</v>
      </c>
      <c r="E58" s="142">
        <v>4319</v>
      </c>
      <c r="F58" s="142">
        <v>3666</v>
      </c>
      <c r="G58" s="142">
        <v>4170</v>
      </c>
      <c r="H58" s="161"/>
      <c r="I58" s="161"/>
      <c r="J58" s="161"/>
      <c r="K58" s="27">
        <f t="shared" si="18"/>
        <v>-2.900179856115102</v>
      </c>
      <c r="L58" s="27">
        <f t="shared" si="19"/>
        <v>-40.762584007680701</v>
      </c>
    </row>
    <row r="59" spans="1:14" x14ac:dyDescent="0.25">
      <c r="A59" s="113" t="s">
        <v>114</v>
      </c>
      <c r="B59" s="144">
        <v>1876</v>
      </c>
      <c r="C59" s="144">
        <v>5773</v>
      </c>
      <c r="D59" s="123">
        <v>2234</v>
      </c>
      <c r="E59" s="144">
        <v>3300</v>
      </c>
      <c r="F59" s="144">
        <v>2546</v>
      </c>
      <c r="G59" s="144">
        <v>2277</v>
      </c>
      <c r="H59" s="163"/>
      <c r="I59" s="163"/>
      <c r="J59" s="163"/>
      <c r="K59" s="27">
        <f t="shared" si="18"/>
        <v>47.717099373321389</v>
      </c>
      <c r="L59" s="27">
        <f t="shared" si="19"/>
        <v>-42.837346267105488</v>
      </c>
    </row>
    <row r="60" spans="1:14" ht="15.75" thickBot="1" x14ac:dyDescent="0.3">
      <c r="A60" s="111" t="s">
        <v>115</v>
      </c>
      <c r="B60" s="145">
        <v>9592</v>
      </c>
      <c r="C60" s="145">
        <v>10299</v>
      </c>
      <c r="D60" s="124">
        <v>7218</v>
      </c>
      <c r="E60" s="145">
        <v>5956</v>
      </c>
      <c r="F60" s="145">
        <v>10983</v>
      </c>
      <c r="G60" s="145">
        <v>11834</v>
      </c>
      <c r="H60" s="161"/>
      <c r="I60" s="161"/>
      <c r="J60" s="161"/>
      <c r="K60" s="27">
        <f t="shared" si="18"/>
        <v>-17.484067608755893</v>
      </c>
      <c r="L60" s="27">
        <f t="shared" si="19"/>
        <v>-42.169142635207301</v>
      </c>
    </row>
    <row r="61" spans="1:14" ht="15.75" thickBot="1" x14ac:dyDescent="0.3">
      <c r="A61" s="114" t="s">
        <v>116</v>
      </c>
      <c r="B61" s="146">
        <v>65851</v>
      </c>
      <c r="C61" s="146">
        <v>63780</v>
      </c>
      <c r="D61" s="125">
        <v>43762</v>
      </c>
      <c r="E61" s="146">
        <v>52906</v>
      </c>
      <c r="F61" s="146">
        <v>61654</v>
      </c>
      <c r="G61" s="146">
        <v>87738</v>
      </c>
      <c r="H61" s="161"/>
      <c r="I61" s="161"/>
      <c r="J61" s="161"/>
      <c r="K61" s="27">
        <f t="shared" si="18"/>
        <v>20.894840272382439</v>
      </c>
      <c r="L61" s="27">
        <f t="shared" si="19"/>
        <v>-17.049231734085922</v>
      </c>
    </row>
    <row r="63" spans="1:14" ht="15.75" thickBot="1" x14ac:dyDescent="0.3"/>
    <row r="64" spans="1:14" ht="15.75" thickBot="1" x14ac:dyDescent="0.3">
      <c r="A64" t="s">
        <v>121</v>
      </c>
      <c r="B64" s="103" t="s">
        <v>22</v>
      </c>
      <c r="C64" s="103" t="s">
        <v>59</v>
      </c>
      <c r="D64" s="103" t="s">
        <v>49</v>
      </c>
      <c r="E64" s="103" t="s">
        <v>104</v>
      </c>
      <c r="F64" s="103" t="s">
        <v>141</v>
      </c>
      <c r="G64" s="103" t="s">
        <v>158</v>
      </c>
      <c r="H64" s="105"/>
      <c r="I64" s="105"/>
      <c r="J64" s="105"/>
      <c r="K64" s="105" t="s">
        <v>99</v>
      </c>
      <c r="L64" s="105" t="s">
        <v>100</v>
      </c>
    </row>
    <row r="65" spans="1:12" x14ac:dyDescent="0.25">
      <c r="A65" s="110" t="s">
        <v>110</v>
      </c>
      <c r="B65" s="115">
        <f>B41+B53</f>
        <v>49113</v>
      </c>
      <c r="C65" s="115">
        <f>C41+C53</f>
        <v>42990</v>
      </c>
      <c r="D65" s="115">
        <f t="shared" ref="D65:G65" si="20">D41+D53</f>
        <v>20801</v>
      </c>
      <c r="E65" s="115">
        <f t="shared" si="20"/>
        <v>42828</v>
      </c>
      <c r="F65" s="115">
        <f t="shared" si="20"/>
        <v>46281</v>
      </c>
      <c r="G65" s="115">
        <f t="shared" si="20"/>
        <v>52423</v>
      </c>
      <c r="H65" s="115"/>
      <c r="I65" s="115"/>
      <c r="J65" s="115"/>
      <c r="K65" s="27">
        <f t="shared" ref="K65:K73" si="21">E65/D65*100-100</f>
        <v>105.89394740637471</v>
      </c>
      <c r="L65" s="27">
        <f t="shared" ref="L65:L73" si="22">E65/C65*100-100</f>
        <v>-0.37683182135380378</v>
      </c>
    </row>
    <row r="66" spans="1:12" x14ac:dyDescent="0.25">
      <c r="A66" s="111" t="s">
        <v>117</v>
      </c>
      <c r="B66" s="115">
        <f t="shared" ref="B66:B73" si="23">B42+B54</f>
        <v>29065</v>
      </c>
      <c r="C66" s="115">
        <f t="shared" ref="C66:G66" si="24">C42+C54</f>
        <v>34907</v>
      </c>
      <c r="D66" s="115">
        <f t="shared" si="24"/>
        <v>25441</v>
      </c>
      <c r="E66" s="115">
        <f t="shared" si="24"/>
        <v>27120</v>
      </c>
      <c r="F66" s="115">
        <f t="shared" si="24"/>
        <v>30894</v>
      </c>
      <c r="G66" s="115">
        <f t="shared" si="24"/>
        <v>47984</v>
      </c>
      <c r="H66" s="115"/>
      <c r="I66" s="115"/>
      <c r="J66" s="115"/>
      <c r="K66" s="27">
        <f t="shared" si="21"/>
        <v>6.5995833497110965</v>
      </c>
      <c r="L66" s="27">
        <f t="shared" si="22"/>
        <v>-22.307846563726471</v>
      </c>
    </row>
    <row r="67" spans="1:12" x14ac:dyDescent="0.25">
      <c r="A67" s="112" t="s">
        <v>111</v>
      </c>
      <c r="B67" s="115">
        <f t="shared" si="23"/>
        <v>12467</v>
      </c>
      <c r="C67" s="115">
        <f t="shared" ref="C67:G67" si="25">C43+C55</f>
        <v>12561</v>
      </c>
      <c r="D67" s="115">
        <f t="shared" si="25"/>
        <v>7936</v>
      </c>
      <c r="E67" s="115">
        <f t="shared" si="25"/>
        <v>7538</v>
      </c>
      <c r="F67" s="115">
        <f t="shared" si="25"/>
        <v>12413</v>
      </c>
      <c r="G67" s="115">
        <f t="shared" si="25"/>
        <v>15778</v>
      </c>
      <c r="H67" s="115"/>
      <c r="I67" s="115"/>
      <c r="J67" s="115"/>
      <c r="K67" s="27">
        <f t="shared" si="21"/>
        <v>-5.0151209677419359</v>
      </c>
      <c r="L67" s="27">
        <f t="shared" si="22"/>
        <v>-39.988854390574005</v>
      </c>
    </row>
    <row r="68" spans="1:12" x14ac:dyDescent="0.25">
      <c r="A68" s="112" t="s">
        <v>112</v>
      </c>
      <c r="B68" s="115">
        <f t="shared" si="23"/>
        <v>6655</v>
      </c>
      <c r="C68" s="115">
        <f t="shared" ref="C68:G68" si="26">C44+C56</f>
        <v>7453</v>
      </c>
      <c r="D68" s="115">
        <f t="shared" si="26"/>
        <v>6589</v>
      </c>
      <c r="E68" s="115">
        <f t="shared" si="26"/>
        <v>9286</v>
      </c>
      <c r="F68" s="115">
        <f t="shared" si="26"/>
        <v>5962</v>
      </c>
      <c r="G68" s="115">
        <f t="shared" si="26"/>
        <v>20073</v>
      </c>
      <c r="H68" s="115"/>
      <c r="I68" s="115"/>
      <c r="J68" s="115"/>
      <c r="K68" s="27">
        <f t="shared" si="21"/>
        <v>40.931856123842749</v>
      </c>
      <c r="L68" s="27">
        <f t="shared" si="22"/>
        <v>24.594123171877101</v>
      </c>
    </row>
    <row r="69" spans="1:12" x14ac:dyDescent="0.25">
      <c r="A69" s="112" t="s">
        <v>113</v>
      </c>
      <c r="B69" s="115">
        <f t="shared" si="23"/>
        <v>8504</v>
      </c>
      <c r="C69" s="115">
        <f t="shared" ref="C69:G69" si="27">C45+C57</f>
        <v>12495</v>
      </c>
      <c r="D69" s="115">
        <f t="shared" si="27"/>
        <v>9766</v>
      </c>
      <c r="E69" s="115">
        <f t="shared" si="27"/>
        <v>8589</v>
      </c>
      <c r="F69" s="115">
        <f t="shared" si="27"/>
        <v>11160</v>
      </c>
      <c r="G69" s="115">
        <f t="shared" si="27"/>
        <v>10530</v>
      </c>
      <c r="H69" s="115"/>
      <c r="I69" s="115"/>
      <c r="J69" s="115"/>
      <c r="K69" s="27">
        <f t="shared" si="21"/>
        <v>-12.052017202539417</v>
      </c>
      <c r="L69" s="27">
        <f t="shared" si="22"/>
        <v>-31.260504201680675</v>
      </c>
    </row>
    <row r="70" spans="1:12" x14ac:dyDescent="0.25">
      <c r="A70" s="111" t="s">
        <v>118</v>
      </c>
      <c r="B70" s="115">
        <f t="shared" si="23"/>
        <v>6561</v>
      </c>
      <c r="C70" s="115">
        <f t="shared" ref="C70:G70" si="28">C46+C58</f>
        <v>12322</v>
      </c>
      <c r="D70" s="115">
        <f t="shared" si="28"/>
        <v>6833</v>
      </c>
      <c r="E70" s="115">
        <f t="shared" si="28"/>
        <v>8232</v>
      </c>
      <c r="F70" s="115">
        <f t="shared" si="28"/>
        <v>7828</v>
      </c>
      <c r="G70" s="115">
        <f t="shared" si="28"/>
        <v>9256</v>
      </c>
      <c r="H70" s="115"/>
      <c r="I70" s="115"/>
      <c r="J70" s="115"/>
      <c r="K70" s="27">
        <f t="shared" si="21"/>
        <v>20.474169471681549</v>
      </c>
      <c r="L70" s="27">
        <f t="shared" si="22"/>
        <v>-33.192663528647941</v>
      </c>
    </row>
    <row r="71" spans="1:12" x14ac:dyDescent="0.25">
      <c r="A71" s="113" t="s">
        <v>114</v>
      </c>
      <c r="B71" s="115">
        <f t="shared" si="23"/>
        <v>3651</v>
      </c>
      <c r="C71" s="115">
        <f t="shared" ref="C71:G71" si="29">C47+C59</f>
        <v>7568</v>
      </c>
      <c r="D71" s="115">
        <f t="shared" si="29"/>
        <v>3208</v>
      </c>
      <c r="E71" s="115">
        <f t="shared" si="29"/>
        <v>4857</v>
      </c>
      <c r="F71" s="115">
        <f t="shared" si="29"/>
        <v>4213</v>
      </c>
      <c r="G71" s="115">
        <f t="shared" si="29"/>
        <v>4476</v>
      </c>
      <c r="H71" s="115"/>
      <c r="I71" s="115"/>
      <c r="J71" s="115"/>
      <c r="K71" s="27">
        <f t="shared" si="21"/>
        <v>51.402743142144629</v>
      </c>
      <c r="L71" s="27">
        <f t="shared" si="22"/>
        <v>-35.821881606765331</v>
      </c>
    </row>
    <row r="72" spans="1:12" ht="15.75" thickBot="1" x14ac:dyDescent="0.3">
      <c r="A72" s="111" t="s">
        <v>115</v>
      </c>
      <c r="B72" s="115">
        <f t="shared" si="23"/>
        <v>15307</v>
      </c>
      <c r="C72" s="115">
        <f t="shared" ref="C72:G72" si="30">C48+C60</f>
        <v>15375</v>
      </c>
      <c r="D72" s="115">
        <f t="shared" si="30"/>
        <v>10112</v>
      </c>
      <c r="E72" s="115">
        <f t="shared" si="30"/>
        <v>10760</v>
      </c>
      <c r="F72" s="115">
        <f t="shared" si="30"/>
        <v>16312</v>
      </c>
      <c r="G72" s="115">
        <f t="shared" si="30"/>
        <v>16728</v>
      </c>
      <c r="H72" s="115"/>
      <c r="I72" s="115"/>
      <c r="J72" s="115"/>
      <c r="K72" s="27">
        <f t="shared" si="21"/>
        <v>6.4082278481012622</v>
      </c>
      <c r="L72" s="27">
        <f t="shared" si="22"/>
        <v>-30.016260162601625</v>
      </c>
    </row>
    <row r="73" spans="1:12" ht="15.75" thickBot="1" x14ac:dyDescent="0.3">
      <c r="A73" s="114" t="s">
        <v>116</v>
      </c>
      <c r="B73" s="115">
        <f t="shared" si="23"/>
        <v>100046</v>
      </c>
      <c r="C73" s="115">
        <f t="shared" ref="C73:G73" si="31">C49+C61</f>
        <v>105595</v>
      </c>
      <c r="D73" s="115">
        <f t="shared" si="31"/>
        <v>63187</v>
      </c>
      <c r="E73" s="115">
        <f t="shared" si="31"/>
        <v>88941</v>
      </c>
      <c r="F73" s="115">
        <f t="shared" si="31"/>
        <v>101316</v>
      </c>
      <c r="G73" s="115">
        <f t="shared" si="31"/>
        <v>126392</v>
      </c>
      <c r="H73" s="115"/>
      <c r="I73" s="115"/>
      <c r="J73" s="115"/>
      <c r="K73" s="27">
        <f t="shared" si="21"/>
        <v>40.758383844778194</v>
      </c>
      <c r="L73" s="27">
        <f t="shared" si="22"/>
        <v>-15.771580093754437</v>
      </c>
    </row>
  </sheetData>
  <sortState ref="S3:T9">
    <sortCondition descending="1" ref="T3:T9"/>
  </sortState>
  <pageMargins left="0.7" right="0.7" top="0.75" bottom="0.75" header="0.3" footer="0.3"/>
  <pageSetup paperSize="9" orientation="portrait" r:id="rId1"/>
  <drawing r:id="rId2"/>
  <legacyDrawing r:id="rId3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55"/>
  <sheetViews>
    <sheetView workbookViewId="0">
      <selection activeCell="O25" sqref="O25"/>
    </sheetView>
  </sheetViews>
  <sheetFormatPr defaultRowHeight="15" x14ac:dyDescent="0.25"/>
  <cols>
    <col min="1" max="1" width="46.28515625" customWidth="1"/>
    <col min="8" max="9" width="13.28515625" bestFit="1" customWidth="1"/>
    <col min="10" max="10" width="13.42578125" bestFit="1" customWidth="1"/>
    <col min="15" max="15" width="28.42578125" customWidth="1"/>
  </cols>
  <sheetData>
    <row r="1" spans="1:16" ht="15.75" thickBot="1" x14ac:dyDescent="0.3">
      <c r="A1" t="s">
        <v>119</v>
      </c>
      <c r="B1" s="157" t="s">
        <v>22</v>
      </c>
      <c r="C1" s="157" t="s">
        <v>23</v>
      </c>
      <c r="D1" s="157" t="s">
        <v>49</v>
      </c>
      <c r="E1" s="157" t="s">
        <v>104</v>
      </c>
      <c r="F1" s="157" t="s">
        <v>142</v>
      </c>
      <c r="G1" s="157" t="s">
        <v>158</v>
      </c>
      <c r="H1" s="105" t="s">
        <v>99</v>
      </c>
      <c r="I1" s="105" t="s">
        <v>100</v>
      </c>
      <c r="J1" s="105" t="s">
        <v>170</v>
      </c>
      <c r="P1" t="s">
        <v>138</v>
      </c>
    </row>
    <row r="2" spans="1:16" x14ac:dyDescent="0.25">
      <c r="A2" s="127" t="s">
        <v>122</v>
      </c>
      <c r="B2" s="156">
        <v>808</v>
      </c>
      <c r="C2" s="156">
        <v>619</v>
      </c>
      <c r="D2" s="135">
        <v>605</v>
      </c>
      <c r="E2" s="135">
        <v>728</v>
      </c>
      <c r="F2" s="135">
        <v>705</v>
      </c>
      <c r="G2" s="135">
        <v>1129</v>
      </c>
      <c r="H2" s="86">
        <f>G2/F2*100-100</f>
        <v>60.141843971631204</v>
      </c>
      <c r="I2" s="86">
        <f>G2/C2*100-100</f>
        <v>82.390953150242325</v>
      </c>
      <c r="J2" s="2">
        <f>G2/$G$17*100</f>
        <v>17.072433086345079</v>
      </c>
      <c r="O2" s="139" t="s">
        <v>136</v>
      </c>
      <c r="P2" s="1">
        <f>38031/1000</f>
        <v>38.030999999999999</v>
      </c>
    </row>
    <row r="3" spans="1:16" x14ac:dyDescent="0.25">
      <c r="A3" s="128" t="s">
        <v>123</v>
      </c>
      <c r="B3" s="132">
        <v>334</v>
      </c>
      <c r="C3" s="132">
        <v>143</v>
      </c>
      <c r="D3" s="136">
        <v>0</v>
      </c>
      <c r="E3" s="136">
        <v>122</v>
      </c>
      <c r="F3" s="136">
        <v>36</v>
      </c>
      <c r="G3" s="136">
        <v>604</v>
      </c>
      <c r="H3" s="86">
        <f>G3/F3*100-100</f>
        <v>1577.7777777777778</v>
      </c>
      <c r="I3" s="86">
        <f t="shared" ref="I3:I17" si="0">G3/C3*100-100</f>
        <v>322.3776223776224</v>
      </c>
      <c r="J3" s="2">
        <f t="shared" ref="J3:J17" si="1">G3/$G$17*100</f>
        <v>9.1335248752457279</v>
      </c>
      <c r="O3" s="128" t="s">
        <v>126</v>
      </c>
      <c r="P3" s="1">
        <f>16476/1000</f>
        <v>16.475999999999999</v>
      </c>
    </row>
    <row r="4" spans="1:16" x14ac:dyDescent="0.25">
      <c r="A4" s="128" t="s">
        <v>124</v>
      </c>
      <c r="B4" s="132">
        <v>30</v>
      </c>
      <c r="C4" s="132">
        <v>14</v>
      </c>
      <c r="D4" s="136">
        <v>0</v>
      </c>
      <c r="E4" s="136">
        <v>0</v>
      </c>
      <c r="F4" s="136">
        <v>0</v>
      </c>
      <c r="G4" s="136">
        <v>51</v>
      </c>
      <c r="H4" s="86" t="e">
        <f>G4/F4*100-100</f>
        <v>#DIV/0!</v>
      </c>
      <c r="I4" s="86">
        <f t="shared" si="0"/>
        <v>264.28571428571428</v>
      </c>
      <c r="J4" s="2">
        <f t="shared" si="1"/>
        <v>0.77120822622107965</v>
      </c>
      <c r="O4" s="128" t="s">
        <v>129</v>
      </c>
      <c r="P4" s="1">
        <f>13847/1000</f>
        <v>13.847</v>
      </c>
    </row>
    <row r="5" spans="1:16" x14ac:dyDescent="0.25">
      <c r="A5" s="128" t="s">
        <v>125</v>
      </c>
      <c r="B5" s="132">
        <v>200</v>
      </c>
      <c r="C5" s="132">
        <v>24</v>
      </c>
      <c r="D5" s="136">
        <v>0</v>
      </c>
      <c r="E5" s="136">
        <v>19</v>
      </c>
      <c r="F5" s="136">
        <v>8</v>
      </c>
      <c r="G5" s="136">
        <v>181</v>
      </c>
      <c r="H5" s="86">
        <f t="shared" ref="H5:H17" si="2">G5/F5*100-100</f>
        <v>2162.5</v>
      </c>
      <c r="I5" s="86">
        <f t="shared" si="0"/>
        <v>654.16666666666674</v>
      </c>
      <c r="J5" s="2">
        <f t="shared" si="1"/>
        <v>2.7370331165885378</v>
      </c>
      <c r="O5" s="128" t="s">
        <v>122</v>
      </c>
      <c r="P5" s="1">
        <f>10098/1000</f>
        <v>10.098000000000001</v>
      </c>
    </row>
    <row r="6" spans="1:16" x14ac:dyDescent="0.25">
      <c r="A6" s="128" t="s">
        <v>126</v>
      </c>
      <c r="B6" s="132">
        <v>181</v>
      </c>
      <c r="C6" s="132">
        <v>29</v>
      </c>
      <c r="D6" s="136">
        <v>4</v>
      </c>
      <c r="E6" s="136">
        <v>32</v>
      </c>
      <c r="F6" s="136">
        <v>26</v>
      </c>
      <c r="G6" s="136">
        <v>319</v>
      </c>
      <c r="H6" s="86">
        <f t="shared" si="2"/>
        <v>1126.9230769230769</v>
      </c>
      <c r="I6" s="86">
        <f>G6/C6*100-100</f>
        <v>1000</v>
      </c>
      <c r="J6" s="2">
        <f t="shared" si="1"/>
        <v>4.8238318463632242</v>
      </c>
      <c r="O6" s="128" t="s">
        <v>133</v>
      </c>
      <c r="P6" s="1">
        <f>8962/1000</f>
        <v>8.9619999999999997</v>
      </c>
    </row>
    <row r="7" spans="1:16" x14ac:dyDescent="0.25">
      <c r="A7" s="128" t="s">
        <v>127</v>
      </c>
      <c r="B7" s="132">
        <v>66</v>
      </c>
      <c r="C7" s="132">
        <v>1</v>
      </c>
      <c r="D7" s="136">
        <v>0</v>
      </c>
      <c r="E7" s="136">
        <v>0</v>
      </c>
      <c r="F7" s="136">
        <v>1</v>
      </c>
      <c r="G7" s="136">
        <v>70</v>
      </c>
      <c r="H7" s="86">
        <f t="shared" si="2"/>
        <v>6900</v>
      </c>
      <c r="I7" s="86">
        <f t="shared" si="0"/>
        <v>6900</v>
      </c>
      <c r="J7" s="2">
        <f t="shared" si="1"/>
        <v>1.0585210948132466</v>
      </c>
      <c r="O7" s="128" t="s">
        <v>127</v>
      </c>
      <c r="P7" s="1">
        <f>8827/1000</f>
        <v>8.827</v>
      </c>
    </row>
    <row r="8" spans="1:16" x14ac:dyDescent="0.25">
      <c r="A8" s="129" t="s">
        <v>128</v>
      </c>
      <c r="B8" s="132">
        <v>171</v>
      </c>
      <c r="C8" s="132">
        <v>10</v>
      </c>
      <c r="D8" s="136">
        <v>16</v>
      </c>
      <c r="E8" s="136">
        <v>3</v>
      </c>
      <c r="F8" s="136">
        <v>5</v>
      </c>
      <c r="G8" s="136">
        <v>174</v>
      </c>
      <c r="H8" s="86">
        <f t="shared" si="2"/>
        <v>3379.9999999999995</v>
      </c>
      <c r="I8" s="86">
        <f t="shared" si="0"/>
        <v>1639.9999999999998</v>
      </c>
      <c r="J8" s="2">
        <f t="shared" si="1"/>
        <v>2.6311810071072133</v>
      </c>
      <c r="O8" s="129" t="s">
        <v>128</v>
      </c>
      <c r="P8" s="1">
        <f>8102/1000</f>
        <v>8.1020000000000003</v>
      </c>
    </row>
    <row r="9" spans="1:16" x14ac:dyDescent="0.25">
      <c r="A9" s="128" t="s">
        <v>129</v>
      </c>
      <c r="B9" s="132">
        <v>0</v>
      </c>
      <c r="C9" s="132">
        <v>0</v>
      </c>
      <c r="D9" s="136">
        <v>11</v>
      </c>
      <c r="E9" s="136">
        <v>0</v>
      </c>
      <c r="F9" s="136">
        <v>0</v>
      </c>
      <c r="G9" s="136">
        <v>30</v>
      </c>
      <c r="H9" s="86" t="e">
        <f t="shared" si="2"/>
        <v>#DIV/0!</v>
      </c>
      <c r="I9" s="86" t="e">
        <f t="shared" si="0"/>
        <v>#DIV/0!</v>
      </c>
      <c r="J9" s="2">
        <f t="shared" si="1"/>
        <v>0.45365189777710568</v>
      </c>
      <c r="O9" s="128" t="s">
        <v>123</v>
      </c>
      <c r="P9" s="1">
        <f>5038/1000</f>
        <v>5.0380000000000003</v>
      </c>
    </row>
    <row r="10" spans="1:16" x14ac:dyDescent="0.25">
      <c r="A10" s="128" t="s">
        <v>130</v>
      </c>
      <c r="B10" s="132">
        <v>1102</v>
      </c>
      <c r="C10" s="132">
        <v>186</v>
      </c>
      <c r="D10" s="136">
        <v>16</v>
      </c>
      <c r="E10" s="136">
        <v>266</v>
      </c>
      <c r="F10" s="136">
        <v>214</v>
      </c>
      <c r="G10" s="136">
        <v>1032</v>
      </c>
      <c r="H10" s="86">
        <f t="shared" si="2"/>
        <v>382.24299065420564</v>
      </c>
      <c r="I10" s="86">
        <f t="shared" si="0"/>
        <v>454.83870967741939</v>
      </c>
      <c r="J10" s="2">
        <f t="shared" si="1"/>
        <v>15.605625283532436</v>
      </c>
      <c r="O10" s="128" t="s">
        <v>134</v>
      </c>
      <c r="P10" s="1">
        <f>3470/1000</f>
        <v>3.47</v>
      </c>
    </row>
    <row r="11" spans="1:16" x14ac:dyDescent="0.25">
      <c r="A11" s="128" t="s">
        <v>131</v>
      </c>
      <c r="B11" s="132">
        <v>304</v>
      </c>
      <c r="C11" s="132">
        <v>46</v>
      </c>
      <c r="D11" s="136">
        <v>6</v>
      </c>
      <c r="E11" s="136">
        <v>21</v>
      </c>
      <c r="F11" s="136">
        <v>31</v>
      </c>
      <c r="G11" s="136">
        <v>165</v>
      </c>
      <c r="H11" s="86">
        <f t="shared" si="2"/>
        <v>432.25806451612902</v>
      </c>
      <c r="I11" s="86">
        <f t="shared" si="0"/>
        <v>258.69565217391306</v>
      </c>
      <c r="J11" s="2">
        <f t="shared" si="1"/>
        <v>2.4950854377740814</v>
      </c>
      <c r="O11" s="130" t="s">
        <v>135</v>
      </c>
      <c r="P11" s="1">
        <f>3020/1000</f>
        <v>3.02</v>
      </c>
    </row>
    <row r="12" spans="1:16" x14ac:dyDescent="0.25">
      <c r="A12" s="128" t="s">
        <v>132</v>
      </c>
      <c r="B12" s="132">
        <v>70</v>
      </c>
      <c r="C12" s="132">
        <v>18</v>
      </c>
      <c r="D12" s="136">
        <v>0</v>
      </c>
      <c r="E12" s="136">
        <v>0</v>
      </c>
      <c r="F12" s="136">
        <v>0</v>
      </c>
      <c r="G12" s="136">
        <v>60</v>
      </c>
      <c r="H12" s="86" t="e">
        <f t="shared" si="2"/>
        <v>#DIV/0!</v>
      </c>
      <c r="I12" s="86">
        <f t="shared" si="0"/>
        <v>233.33333333333337</v>
      </c>
      <c r="J12" s="2">
        <f t="shared" si="1"/>
        <v>0.90730379555421137</v>
      </c>
      <c r="O12" s="128" t="s">
        <v>130</v>
      </c>
      <c r="P12" s="1">
        <f>2675/1000</f>
        <v>2.6749999999999998</v>
      </c>
    </row>
    <row r="13" spans="1:16" x14ac:dyDescent="0.25">
      <c r="A13" s="128" t="s">
        <v>133</v>
      </c>
      <c r="B13" s="132">
        <v>444</v>
      </c>
      <c r="C13" s="132">
        <v>1</v>
      </c>
      <c r="D13" s="136">
        <v>0</v>
      </c>
      <c r="E13" s="136">
        <v>0</v>
      </c>
      <c r="F13" s="136">
        <v>0</v>
      </c>
      <c r="G13" s="136">
        <v>489</v>
      </c>
      <c r="H13" s="86" t="e">
        <f t="shared" si="2"/>
        <v>#DIV/0!</v>
      </c>
      <c r="I13" s="86">
        <f t="shared" si="0"/>
        <v>48800</v>
      </c>
      <c r="J13" s="2">
        <f t="shared" si="1"/>
        <v>7.3945259337668228</v>
      </c>
      <c r="O13" s="128" t="s">
        <v>124</v>
      </c>
      <c r="P13" s="1">
        <f>1532/1000</f>
        <v>1.532</v>
      </c>
    </row>
    <row r="14" spans="1:16" x14ac:dyDescent="0.25">
      <c r="A14" s="128" t="s">
        <v>134</v>
      </c>
      <c r="B14" s="132">
        <v>26</v>
      </c>
      <c r="C14" s="132">
        <v>0</v>
      </c>
      <c r="D14" s="136">
        <v>0</v>
      </c>
      <c r="E14" s="136">
        <v>0</v>
      </c>
      <c r="F14" s="136">
        <v>7</v>
      </c>
      <c r="G14" s="136">
        <v>41</v>
      </c>
      <c r="H14" s="86">
        <f t="shared" si="2"/>
        <v>485.71428571428567</v>
      </c>
      <c r="I14" s="86" t="e">
        <f t="shared" si="0"/>
        <v>#DIV/0!</v>
      </c>
      <c r="J14" s="2">
        <f t="shared" si="1"/>
        <v>0.6199909269620445</v>
      </c>
      <c r="O14" s="128" t="s">
        <v>131</v>
      </c>
      <c r="P14" s="1">
        <f>1318/1000</f>
        <v>1.3180000000000001</v>
      </c>
    </row>
    <row r="15" spans="1:16" x14ac:dyDescent="0.25">
      <c r="A15" s="130" t="s">
        <v>135</v>
      </c>
      <c r="B15" s="133">
        <v>1912</v>
      </c>
      <c r="C15" s="133">
        <v>363</v>
      </c>
      <c r="D15" s="137">
        <v>35</v>
      </c>
      <c r="E15" s="137">
        <v>313</v>
      </c>
      <c r="F15" s="137">
        <v>151</v>
      </c>
      <c r="G15" s="137">
        <v>1453</v>
      </c>
      <c r="H15" s="86">
        <f t="shared" si="2"/>
        <v>862.25165562913912</v>
      </c>
      <c r="I15" s="86">
        <f t="shared" si="0"/>
        <v>300.27548209366392</v>
      </c>
      <c r="J15" s="2">
        <f t="shared" si="1"/>
        <v>21.971873582337821</v>
      </c>
      <c r="O15" s="128" t="s">
        <v>132</v>
      </c>
      <c r="P15" s="1">
        <f>1264/1000</f>
        <v>1.264</v>
      </c>
    </row>
    <row r="16" spans="1:16" ht="15.75" thickBot="1" x14ac:dyDescent="0.3">
      <c r="A16" s="111" t="s">
        <v>136</v>
      </c>
      <c r="B16" s="132">
        <v>844</v>
      </c>
      <c r="C16" s="132">
        <v>36</v>
      </c>
      <c r="D16" s="136">
        <v>58</v>
      </c>
      <c r="E16" s="136">
        <v>11</v>
      </c>
      <c r="F16" s="136">
        <v>20</v>
      </c>
      <c r="G16" s="136">
        <v>816</v>
      </c>
      <c r="H16" s="86">
        <f t="shared" si="2"/>
        <v>3979.9999999999995</v>
      </c>
      <c r="I16" s="86">
        <f t="shared" si="0"/>
        <v>2166.666666666667</v>
      </c>
      <c r="J16" s="2">
        <f t="shared" si="1"/>
        <v>12.339331619537274</v>
      </c>
      <c r="O16" s="129" t="s">
        <v>125</v>
      </c>
      <c r="P16" s="1">
        <f>223/1000</f>
        <v>0.223</v>
      </c>
    </row>
    <row r="17" spans="1:11" ht="15.75" thickBot="1" x14ac:dyDescent="0.3">
      <c r="A17" s="131" t="s">
        <v>137</v>
      </c>
      <c r="B17" s="134">
        <f>SUM(B2:B16)</f>
        <v>6492</v>
      </c>
      <c r="C17" s="134">
        <v>1490</v>
      </c>
      <c r="D17" s="138">
        <v>751</v>
      </c>
      <c r="E17" s="138">
        <f>SUM(E2:E16)</f>
        <v>1515</v>
      </c>
      <c r="F17" s="138">
        <f>SUM(F2:F16)</f>
        <v>1204</v>
      </c>
      <c r="G17" s="138">
        <v>6613</v>
      </c>
      <c r="H17" s="86">
        <f t="shared" si="2"/>
        <v>449.2524916943521</v>
      </c>
      <c r="I17" s="86">
        <f t="shared" si="0"/>
        <v>343.82550335570465</v>
      </c>
      <c r="J17" s="2">
        <f t="shared" si="1"/>
        <v>100</v>
      </c>
    </row>
    <row r="19" spans="1:11" ht="15.75" thickBot="1" x14ac:dyDescent="0.3"/>
    <row r="20" spans="1:11" ht="15.75" thickBot="1" x14ac:dyDescent="0.3">
      <c r="A20" t="s">
        <v>120</v>
      </c>
      <c r="B20" s="157" t="s">
        <v>22</v>
      </c>
      <c r="C20" s="157" t="s">
        <v>23</v>
      </c>
      <c r="D20" s="157" t="s">
        <v>49</v>
      </c>
      <c r="E20" s="157" t="s">
        <v>104</v>
      </c>
      <c r="F20" s="157" t="s">
        <v>142</v>
      </c>
      <c r="G20" s="157" t="s">
        <v>158</v>
      </c>
      <c r="H20" s="105" t="s">
        <v>99</v>
      </c>
      <c r="I20" s="105" t="s">
        <v>100</v>
      </c>
      <c r="J20" s="105" t="s">
        <v>170</v>
      </c>
    </row>
    <row r="21" spans="1:11" x14ac:dyDescent="0.25">
      <c r="A21" s="127" t="s">
        <v>122</v>
      </c>
      <c r="B21" s="135">
        <v>56303</v>
      </c>
      <c r="C21" s="135">
        <v>11011</v>
      </c>
      <c r="D21" s="135">
        <v>5393</v>
      </c>
      <c r="E21" s="135">
        <v>7022</v>
      </c>
      <c r="F21" s="135">
        <v>10858</v>
      </c>
      <c r="G21" s="135">
        <v>49389</v>
      </c>
      <c r="H21" s="86">
        <f>G21/F21*100-100</f>
        <v>354.86277399152704</v>
      </c>
      <c r="I21" s="86">
        <f>G21/C21*100-100</f>
        <v>348.54236672418494</v>
      </c>
      <c r="J21" s="2">
        <f>G21/$G$36*100</f>
        <v>6.4808751917467227</v>
      </c>
      <c r="K21" s="1">
        <f t="shared" ref="K21:K35" si="3">E21-C21</f>
        <v>-3989</v>
      </c>
    </row>
    <row r="22" spans="1:11" x14ac:dyDescent="0.25">
      <c r="A22" s="128" t="s">
        <v>123</v>
      </c>
      <c r="B22" s="136">
        <v>55567</v>
      </c>
      <c r="C22" s="136">
        <v>5362</v>
      </c>
      <c r="D22" s="136">
        <v>1632</v>
      </c>
      <c r="E22" s="136">
        <v>7557</v>
      </c>
      <c r="F22" s="136">
        <v>3836</v>
      </c>
      <c r="G22" s="136">
        <v>62074</v>
      </c>
      <c r="H22" s="86">
        <f t="shared" ref="H22:H36" si="4">G22/F22*100-100</f>
        <v>1518.1960375391031</v>
      </c>
      <c r="I22" s="86">
        <f t="shared" ref="I22:I36" si="5">G22/C22*100-100</f>
        <v>1057.6650503543456</v>
      </c>
      <c r="J22" s="2">
        <f t="shared" ref="J22:J35" si="6">G22/$G$36*100</f>
        <v>8.1454138907952398</v>
      </c>
      <c r="K22" s="1">
        <f t="shared" si="3"/>
        <v>2195</v>
      </c>
    </row>
    <row r="23" spans="1:11" x14ac:dyDescent="0.25">
      <c r="A23" s="128" t="s">
        <v>124</v>
      </c>
      <c r="B23" s="136">
        <v>27477</v>
      </c>
      <c r="C23" s="136">
        <v>308</v>
      </c>
      <c r="D23" s="136">
        <v>1185</v>
      </c>
      <c r="E23" s="136">
        <v>716</v>
      </c>
      <c r="F23" s="136">
        <v>665</v>
      </c>
      <c r="G23" s="136">
        <v>12971</v>
      </c>
      <c r="H23" s="86">
        <f t="shared" si="4"/>
        <v>1850.5263157894738</v>
      </c>
      <c r="I23" s="86">
        <f t="shared" si="5"/>
        <v>4111.3636363636369</v>
      </c>
      <c r="J23" s="2">
        <f t="shared" si="6"/>
        <v>1.7020679121291529</v>
      </c>
      <c r="K23" s="1">
        <f t="shared" si="3"/>
        <v>408</v>
      </c>
    </row>
    <row r="24" spans="1:11" x14ac:dyDescent="0.25">
      <c r="A24" s="128" t="s">
        <v>125</v>
      </c>
      <c r="B24" s="136">
        <v>3584</v>
      </c>
      <c r="C24" s="136">
        <v>421</v>
      </c>
      <c r="D24" s="136">
        <v>117</v>
      </c>
      <c r="E24" s="136">
        <v>82</v>
      </c>
      <c r="F24" s="136">
        <v>299</v>
      </c>
      <c r="G24" s="136">
        <v>2300</v>
      </c>
      <c r="H24" s="86">
        <f t="shared" si="4"/>
        <v>669.23076923076928</v>
      </c>
      <c r="I24" s="86">
        <f t="shared" si="5"/>
        <v>446.31828978622332</v>
      </c>
      <c r="J24" s="2">
        <f t="shared" si="6"/>
        <v>0.30180835694218267</v>
      </c>
      <c r="K24" s="1">
        <f t="shared" si="3"/>
        <v>-339</v>
      </c>
    </row>
    <row r="25" spans="1:11" x14ac:dyDescent="0.25">
      <c r="A25" s="128" t="s">
        <v>126</v>
      </c>
      <c r="B25" s="136">
        <v>84519</v>
      </c>
      <c r="C25" s="136">
        <v>6810</v>
      </c>
      <c r="D25" s="136">
        <v>6219</v>
      </c>
      <c r="E25" s="136">
        <v>21940</v>
      </c>
      <c r="F25" s="136">
        <v>30571</v>
      </c>
      <c r="G25" s="136">
        <v>111623</v>
      </c>
      <c r="H25" s="86">
        <f t="shared" si="4"/>
        <v>265.12708122076475</v>
      </c>
      <c r="I25" s="86">
        <f t="shared" si="5"/>
        <v>1539.1042584434654</v>
      </c>
      <c r="J25" s="2">
        <f t="shared" si="6"/>
        <v>14.647284446503155</v>
      </c>
      <c r="K25" s="1">
        <f t="shared" si="3"/>
        <v>15130</v>
      </c>
    </row>
    <row r="26" spans="1:11" x14ac:dyDescent="0.25">
      <c r="A26" s="128" t="s">
        <v>127</v>
      </c>
      <c r="B26" s="136">
        <v>34320</v>
      </c>
      <c r="C26" s="136">
        <v>9004</v>
      </c>
      <c r="D26" s="136">
        <v>1626</v>
      </c>
      <c r="E26" s="136">
        <v>2692</v>
      </c>
      <c r="F26" s="136">
        <v>2269</v>
      </c>
      <c r="G26" s="136">
        <v>64803</v>
      </c>
      <c r="H26" s="86">
        <f t="shared" si="4"/>
        <v>2756.0158660202733</v>
      </c>
      <c r="I26" s="86">
        <f t="shared" si="5"/>
        <v>619.71346068414039</v>
      </c>
      <c r="J26" s="2">
        <f t="shared" si="6"/>
        <v>8.5035160673583778</v>
      </c>
      <c r="K26" s="1">
        <f t="shared" si="3"/>
        <v>-6312</v>
      </c>
    </row>
    <row r="27" spans="1:11" x14ac:dyDescent="0.25">
      <c r="A27" s="129" t="s">
        <v>128</v>
      </c>
      <c r="B27" s="136">
        <v>28085</v>
      </c>
      <c r="C27" s="136">
        <v>5220</v>
      </c>
      <c r="D27" s="136">
        <v>5244</v>
      </c>
      <c r="E27" s="136">
        <v>6118</v>
      </c>
      <c r="F27" s="136">
        <v>9073</v>
      </c>
      <c r="G27" s="136">
        <v>34888</v>
      </c>
      <c r="H27" s="86">
        <f t="shared" si="4"/>
        <v>284.52551526507216</v>
      </c>
      <c r="I27" s="86">
        <f t="shared" si="5"/>
        <v>568.35249042145597</v>
      </c>
      <c r="J27" s="2">
        <f t="shared" si="6"/>
        <v>4.5780391117386392</v>
      </c>
      <c r="K27" s="1">
        <f t="shared" si="3"/>
        <v>898</v>
      </c>
    </row>
    <row r="28" spans="1:11" x14ac:dyDescent="0.25">
      <c r="A28" s="128" t="s">
        <v>129</v>
      </c>
      <c r="B28" s="136">
        <v>52102</v>
      </c>
      <c r="C28" s="136">
        <v>15456</v>
      </c>
      <c r="D28" s="136">
        <v>5019</v>
      </c>
      <c r="E28" s="136">
        <v>2100</v>
      </c>
      <c r="F28" s="136">
        <v>17846</v>
      </c>
      <c r="G28" s="136">
        <v>76429</v>
      </c>
      <c r="H28" s="86">
        <f t="shared" si="4"/>
        <v>328.26964025551939</v>
      </c>
      <c r="I28" s="86">
        <f t="shared" si="5"/>
        <v>394.49404761904765</v>
      </c>
      <c r="J28" s="2">
        <f t="shared" si="6"/>
        <v>10.029091701188731</v>
      </c>
      <c r="K28" s="1">
        <f t="shared" si="3"/>
        <v>-13356</v>
      </c>
    </row>
    <row r="29" spans="1:11" x14ac:dyDescent="0.25">
      <c r="A29" s="128" t="s">
        <v>130</v>
      </c>
      <c r="B29" s="136">
        <v>27490</v>
      </c>
      <c r="C29" s="136">
        <v>3182</v>
      </c>
      <c r="D29" s="136">
        <v>1411</v>
      </c>
      <c r="E29" s="136">
        <v>1872</v>
      </c>
      <c r="F29" s="136">
        <v>1215</v>
      </c>
      <c r="G29" s="136">
        <v>34348</v>
      </c>
      <c r="H29" s="86">
        <f t="shared" si="4"/>
        <v>2726.9958847736625</v>
      </c>
      <c r="I29" s="86">
        <f t="shared" si="5"/>
        <v>979.44688874921439</v>
      </c>
      <c r="J29" s="2">
        <f t="shared" si="6"/>
        <v>4.5071797583696052</v>
      </c>
      <c r="K29" s="1">
        <f t="shared" si="3"/>
        <v>-1310</v>
      </c>
    </row>
    <row r="30" spans="1:11" x14ac:dyDescent="0.25">
      <c r="A30" s="128" t="s">
        <v>131</v>
      </c>
      <c r="B30" s="136">
        <v>18519</v>
      </c>
      <c r="C30" s="136">
        <v>3029</v>
      </c>
      <c r="D30" s="136">
        <v>1726</v>
      </c>
      <c r="E30" s="136">
        <v>510</v>
      </c>
      <c r="F30" s="136">
        <v>19998</v>
      </c>
      <c r="G30" s="136">
        <v>27533</v>
      </c>
      <c r="H30" s="86">
        <f t="shared" si="4"/>
        <v>37.678767876787674</v>
      </c>
      <c r="I30" s="86">
        <f t="shared" si="5"/>
        <v>808.97986134037637</v>
      </c>
      <c r="J30" s="2">
        <f t="shared" si="6"/>
        <v>3.6129084746474414</v>
      </c>
      <c r="K30" s="1">
        <f t="shared" si="3"/>
        <v>-2519</v>
      </c>
    </row>
    <row r="31" spans="1:11" x14ac:dyDescent="0.25">
      <c r="A31" s="128" t="s">
        <v>132</v>
      </c>
      <c r="B31" s="136">
        <v>4551</v>
      </c>
      <c r="C31" s="136">
        <v>1614</v>
      </c>
      <c r="D31" s="136">
        <v>69</v>
      </c>
      <c r="E31" s="136">
        <v>441</v>
      </c>
      <c r="F31" s="136">
        <v>606</v>
      </c>
      <c r="G31" s="136">
        <v>8956</v>
      </c>
      <c r="H31" s="86">
        <f t="shared" si="4"/>
        <v>1377.8877887788778</v>
      </c>
      <c r="I31" s="86">
        <f t="shared" si="5"/>
        <v>454.89467162329618</v>
      </c>
      <c r="J31" s="2">
        <f t="shared" si="6"/>
        <v>1.1752154977279079</v>
      </c>
      <c r="K31" s="1">
        <f t="shared" si="3"/>
        <v>-1173</v>
      </c>
    </row>
    <row r="32" spans="1:11" x14ac:dyDescent="0.25">
      <c r="A32" s="128" t="s">
        <v>133</v>
      </c>
      <c r="B32" s="136">
        <v>39190</v>
      </c>
      <c r="C32" s="136">
        <v>5115</v>
      </c>
      <c r="D32" s="136">
        <v>3466</v>
      </c>
      <c r="E32" s="136">
        <v>4100</v>
      </c>
      <c r="F32" s="136">
        <v>5988</v>
      </c>
      <c r="G32" s="136">
        <v>41172</v>
      </c>
      <c r="H32" s="86">
        <f t="shared" si="4"/>
        <v>587.57515030060119</v>
      </c>
      <c r="I32" s="86">
        <f t="shared" si="5"/>
        <v>704.92668621700875</v>
      </c>
      <c r="J32" s="2">
        <f t="shared" si="6"/>
        <v>5.4026320313145852</v>
      </c>
      <c r="K32" s="1">
        <f t="shared" si="3"/>
        <v>-1015</v>
      </c>
    </row>
    <row r="33" spans="1:12" x14ac:dyDescent="0.25">
      <c r="A33" s="128" t="s">
        <v>134</v>
      </c>
      <c r="B33" s="136">
        <v>1649</v>
      </c>
      <c r="C33" s="136">
        <v>833</v>
      </c>
      <c r="D33" s="136">
        <v>1756</v>
      </c>
      <c r="E33" s="136">
        <v>1877</v>
      </c>
      <c r="F33" s="136">
        <v>3526</v>
      </c>
      <c r="G33" s="136">
        <v>8910</v>
      </c>
      <c r="H33" s="86">
        <f t="shared" si="4"/>
        <v>152.6942711287578</v>
      </c>
      <c r="I33" s="86">
        <f t="shared" si="5"/>
        <v>969.62785114045619</v>
      </c>
      <c r="J33" s="2">
        <f t="shared" si="6"/>
        <v>1.1691793305890643</v>
      </c>
      <c r="K33" s="1">
        <f t="shared" si="3"/>
        <v>1044</v>
      </c>
    </row>
    <row r="34" spans="1:12" x14ac:dyDescent="0.25">
      <c r="A34" s="130" t="s">
        <v>135</v>
      </c>
      <c r="B34" s="137">
        <v>31636</v>
      </c>
      <c r="C34" s="137">
        <v>3500</v>
      </c>
      <c r="D34" s="137">
        <v>1096</v>
      </c>
      <c r="E34" s="137">
        <v>3119</v>
      </c>
      <c r="F34" s="137">
        <v>7546</v>
      </c>
      <c r="G34" s="137">
        <v>38630</v>
      </c>
      <c r="H34" s="86">
        <f t="shared" si="4"/>
        <v>411.92684866154252</v>
      </c>
      <c r="I34" s="86">
        <f t="shared" si="5"/>
        <v>1003.7142857142858</v>
      </c>
      <c r="J34" s="2">
        <f t="shared" si="6"/>
        <v>5.0690681863810951</v>
      </c>
      <c r="K34" s="1">
        <f t="shared" si="3"/>
        <v>-381</v>
      </c>
      <c r="L34" s="141"/>
    </row>
    <row r="35" spans="1:12" ht="15.75" thickBot="1" x14ac:dyDescent="0.3">
      <c r="A35" s="111" t="s">
        <v>136</v>
      </c>
      <c r="B35" s="136">
        <v>146482</v>
      </c>
      <c r="C35" s="136">
        <v>13019</v>
      </c>
      <c r="D35" s="136">
        <v>10089</v>
      </c>
      <c r="E35" s="136">
        <v>37823</v>
      </c>
      <c r="F35" s="136">
        <v>27428</v>
      </c>
      <c r="G35" s="136">
        <v>188046</v>
      </c>
      <c r="H35" s="86">
        <f t="shared" si="4"/>
        <v>585.59865830538138</v>
      </c>
      <c r="I35" s="86">
        <f t="shared" si="5"/>
        <v>1344.3966510484677</v>
      </c>
      <c r="J35" s="2">
        <f t="shared" si="6"/>
        <v>24.675588821543343</v>
      </c>
      <c r="K35" s="1">
        <f t="shared" si="3"/>
        <v>24804</v>
      </c>
    </row>
    <row r="36" spans="1:12" ht="15.75" thickBot="1" x14ac:dyDescent="0.3">
      <c r="A36" s="131" t="s">
        <v>137</v>
      </c>
      <c r="B36" s="138">
        <f t="shared" ref="B36:F36" si="7">SUM(B21:B35)</f>
        <v>611474</v>
      </c>
      <c r="C36" s="138">
        <f t="shared" si="7"/>
        <v>83884</v>
      </c>
      <c r="D36" s="138">
        <f t="shared" si="7"/>
        <v>46048</v>
      </c>
      <c r="E36" s="138">
        <f t="shared" si="7"/>
        <v>97969</v>
      </c>
      <c r="F36" s="138">
        <f t="shared" si="7"/>
        <v>141724</v>
      </c>
      <c r="G36" s="138">
        <v>762073</v>
      </c>
      <c r="H36" s="86">
        <f t="shared" si="4"/>
        <v>437.71626541728995</v>
      </c>
      <c r="I36" s="86">
        <f t="shared" si="5"/>
        <v>808.48433551094365</v>
      </c>
      <c r="J36" s="2">
        <f t="shared" ref="J36" si="8">E36/$E$36*100</f>
        <v>100</v>
      </c>
      <c r="K36" s="1">
        <f>E36-C36</f>
        <v>14085</v>
      </c>
    </row>
    <row r="38" spans="1:12" ht="15.75" thickBot="1" x14ac:dyDescent="0.3"/>
    <row r="39" spans="1:12" ht="15.75" thickBot="1" x14ac:dyDescent="0.3">
      <c r="A39" t="s">
        <v>121</v>
      </c>
      <c r="B39" s="157" t="s">
        <v>22</v>
      </c>
      <c r="C39" s="157" t="s">
        <v>23</v>
      </c>
      <c r="D39" s="157" t="s">
        <v>49</v>
      </c>
      <c r="E39" s="157" t="s">
        <v>104</v>
      </c>
      <c r="F39" s="157" t="s">
        <v>142</v>
      </c>
      <c r="G39" s="157" t="s">
        <v>158</v>
      </c>
      <c r="H39" s="105" t="s">
        <v>99</v>
      </c>
      <c r="I39" s="105" t="s">
        <v>100</v>
      </c>
    </row>
    <row r="40" spans="1:12" x14ac:dyDescent="0.25">
      <c r="A40" s="127" t="s">
        <v>122</v>
      </c>
      <c r="B40" s="1">
        <f>B2+B21</f>
        <v>57111</v>
      </c>
      <c r="C40" s="1">
        <f>C2+C21</f>
        <v>11630</v>
      </c>
      <c r="D40" s="1">
        <f t="shared" ref="D40:E40" si="9">D2+D21</f>
        <v>5998</v>
      </c>
      <c r="E40" s="1">
        <f t="shared" si="9"/>
        <v>7750</v>
      </c>
      <c r="F40" s="1">
        <f>F2+F21</f>
        <v>11563</v>
      </c>
      <c r="G40" s="1">
        <f>G2+G21</f>
        <v>50518</v>
      </c>
      <c r="H40" s="27">
        <f>G40/F40*100-100</f>
        <v>336.89353973882214</v>
      </c>
      <c r="I40" s="27">
        <f>G40/C40*100-100</f>
        <v>334.3766122098022</v>
      </c>
      <c r="K40" s="1"/>
    </row>
    <row r="41" spans="1:12" x14ac:dyDescent="0.25">
      <c r="A41" s="128" t="s">
        <v>123</v>
      </c>
      <c r="B41" s="1">
        <f t="shared" ref="B41:B55" si="10">B3+B22</f>
        <v>55901</v>
      </c>
      <c r="C41" s="1">
        <f t="shared" ref="C41:G55" si="11">C3+C22</f>
        <v>5505</v>
      </c>
      <c r="D41" s="1">
        <f t="shared" si="11"/>
        <v>1632</v>
      </c>
      <c r="E41" s="1">
        <f>E3+E22</f>
        <v>7679</v>
      </c>
      <c r="F41" s="1">
        <f t="shared" si="11"/>
        <v>3872</v>
      </c>
      <c r="G41" s="1">
        <f t="shared" si="11"/>
        <v>62678</v>
      </c>
      <c r="H41" s="27">
        <f t="shared" ref="H41:H55" si="12">G41/F41*100-100</f>
        <v>1518.75</v>
      </c>
      <c r="I41" s="27">
        <f t="shared" ref="I41:I55" si="13">G41/C41*100-100</f>
        <v>1038.5649409627611</v>
      </c>
      <c r="K41" s="1"/>
    </row>
    <row r="42" spans="1:12" x14ac:dyDescent="0.25">
      <c r="A42" s="128" t="s">
        <v>124</v>
      </c>
      <c r="B42" s="1">
        <f t="shared" si="10"/>
        <v>27507</v>
      </c>
      <c r="C42" s="1">
        <f t="shared" si="11"/>
        <v>322</v>
      </c>
      <c r="D42" s="1">
        <f t="shared" si="11"/>
        <v>1185</v>
      </c>
      <c r="E42" s="1">
        <f t="shared" si="11"/>
        <v>716</v>
      </c>
      <c r="F42" s="1">
        <f t="shared" si="11"/>
        <v>665</v>
      </c>
      <c r="G42" s="1">
        <f t="shared" si="11"/>
        <v>13022</v>
      </c>
      <c r="H42" s="27">
        <f t="shared" si="12"/>
        <v>1858.1954887218046</v>
      </c>
      <c r="I42" s="27">
        <f t="shared" si="13"/>
        <v>3944.0993788819874</v>
      </c>
      <c r="K42" s="1"/>
    </row>
    <row r="43" spans="1:12" x14ac:dyDescent="0.25">
      <c r="A43" s="128" t="s">
        <v>125</v>
      </c>
      <c r="B43" s="1">
        <f t="shared" si="10"/>
        <v>3784</v>
      </c>
      <c r="C43" s="1">
        <f t="shared" si="11"/>
        <v>445</v>
      </c>
      <c r="D43" s="1">
        <f t="shared" si="11"/>
        <v>117</v>
      </c>
      <c r="E43" s="1">
        <f t="shared" si="11"/>
        <v>101</v>
      </c>
      <c r="F43" s="1">
        <f t="shared" si="11"/>
        <v>307</v>
      </c>
      <c r="G43" s="1">
        <f t="shared" si="11"/>
        <v>2481</v>
      </c>
      <c r="H43" s="27">
        <f t="shared" si="12"/>
        <v>708.14332247557013</v>
      </c>
      <c r="I43" s="27">
        <f t="shared" si="13"/>
        <v>457.52808988764048</v>
      </c>
      <c r="K43" s="1"/>
    </row>
    <row r="44" spans="1:12" x14ac:dyDescent="0.25">
      <c r="A44" s="128" t="s">
        <v>126</v>
      </c>
      <c r="B44" s="1">
        <f t="shared" si="10"/>
        <v>84700</v>
      </c>
      <c r="C44" s="1">
        <f t="shared" si="11"/>
        <v>6839</v>
      </c>
      <c r="D44" s="1">
        <f t="shared" si="11"/>
        <v>6223</v>
      </c>
      <c r="E44" s="1">
        <f t="shared" si="11"/>
        <v>21972</v>
      </c>
      <c r="F44" s="1">
        <f t="shared" si="11"/>
        <v>30597</v>
      </c>
      <c r="G44" s="1">
        <f t="shared" si="11"/>
        <v>111942</v>
      </c>
      <c r="H44" s="27">
        <f t="shared" si="12"/>
        <v>265.85939798019416</v>
      </c>
      <c r="I44" s="27">
        <f t="shared" si="13"/>
        <v>1536.8182482819127</v>
      </c>
      <c r="K44" s="1"/>
    </row>
    <row r="45" spans="1:12" x14ac:dyDescent="0.25">
      <c r="A45" s="128" t="s">
        <v>127</v>
      </c>
      <c r="B45" s="1">
        <f t="shared" si="10"/>
        <v>34386</v>
      </c>
      <c r="C45" s="1">
        <f t="shared" si="11"/>
        <v>9005</v>
      </c>
      <c r="D45" s="1">
        <f t="shared" si="11"/>
        <v>1626</v>
      </c>
      <c r="E45" s="1">
        <f t="shared" si="11"/>
        <v>2692</v>
      </c>
      <c r="F45" s="1">
        <f t="shared" si="11"/>
        <v>2270</v>
      </c>
      <c r="G45" s="1">
        <f t="shared" si="11"/>
        <v>64873</v>
      </c>
      <c r="H45" s="27">
        <f t="shared" si="12"/>
        <v>2757.8414096916299</v>
      </c>
      <c r="I45" s="27">
        <f t="shared" si="13"/>
        <v>620.41088284286502</v>
      </c>
      <c r="K45" s="1"/>
    </row>
    <row r="46" spans="1:12" x14ac:dyDescent="0.25">
      <c r="A46" s="129" t="s">
        <v>128</v>
      </c>
      <c r="B46" s="1">
        <f t="shared" si="10"/>
        <v>28256</v>
      </c>
      <c r="C46" s="1">
        <f t="shared" si="11"/>
        <v>5230</v>
      </c>
      <c r="D46" s="1">
        <f t="shared" si="11"/>
        <v>5260</v>
      </c>
      <c r="E46" s="1">
        <f t="shared" si="11"/>
        <v>6121</v>
      </c>
      <c r="F46" s="1">
        <f t="shared" si="11"/>
        <v>9078</v>
      </c>
      <c r="G46" s="1">
        <f t="shared" si="11"/>
        <v>35062</v>
      </c>
      <c r="H46" s="27">
        <f t="shared" si="12"/>
        <v>286.23044723507383</v>
      </c>
      <c r="I46" s="27">
        <f t="shared" si="13"/>
        <v>570.4015296367113</v>
      </c>
      <c r="K46" s="1"/>
    </row>
    <row r="47" spans="1:12" x14ac:dyDescent="0.25">
      <c r="A47" s="128" t="s">
        <v>129</v>
      </c>
      <c r="B47" s="1">
        <f t="shared" si="10"/>
        <v>52102</v>
      </c>
      <c r="C47" s="1">
        <f t="shared" si="11"/>
        <v>15456</v>
      </c>
      <c r="D47" s="1">
        <f t="shared" si="11"/>
        <v>5030</v>
      </c>
      <c r="E47" s="1">
        <f t="shared" si="11"/>
        <v>2100</v>
      </c>
      <c r="F47" s="1">
        <f t="shared" si="11"/>
        <v>17846</v>
      </c>
      <c r="G47" s="1">
        <f t="shared" si="11"/>
        <v>76459</v>
      </c>
      <c r="H47" s="27">
        <f t="shared" si="12"/>
        <v>328.43774515297542</v>
      </c>
      <c r="I47" s="27">
        <f t="shared" si="13"/>
        <v>394.68814699792961</v>
      </c>
      <c r="K47" s="1"/>
    </row>
    <row r="48" spans="1:12" x14ac:dyDescent="0.25">
      <c r="A48" s="128" t="s">
        <v>130</v>
      </c>
      <c r="B48" s="1">
        <f t="shared" si="10"/>
        <v>28592</v>
      </c>
      <c r="C48" s="1">
        <f t="shared" si="11"/>
        <v>3368</v>
      </c>
      <c r="D48" s="1">
        <f t="shared" si="11"/>
        <v>1427</v>
      </c>
      <c r="E48" s="1">
        <f t="shared" si="11"/>
        <v>2138</v>
      </c>
      <c r="F48" s="1">
        <f t="shared" si="11"/>
        <v>1429</v>
      </c>
      <c r="G48" s="1">
        <f t="shared" si="11"/>
        <v>35380</v>
      </c>
      <c r="H48" s="27">
        <f t="shared" si="12"/>
        <v>2375.8572428271518</v>
      </c>
      <c r="I48" s="27">
        <f t="shared" si="13"/>
        <v>950.47505938242284</v>
      </c>
      <c r="K48" s="1"/>
    </row>
    <row r="49" spans="1:11" x14ac:dyDescent="0.25">
      <c r="A49" s="128" t="s">
        <v>131</v>
      </c>
      <c r="B49" s="1">
        <f t="shared" si="10"/>
        <v>18823</v>
      </c>
      <c r="C49" s="1">
        <f t="shared" si="11"/>
        <v>3075</v>
      </c>
      <c r="D49" s="1">
        <f t="shared" si="11"/>
        <v>1732</v>
      </c>
      <c r="E49" s="1">
        <f t="shared" si="11"/>
        <v>531</v>
      </c>
      <c r="F49" s="1">
        <f t="shared" si="11"/>
        <v>20029</v>
      </c>
      <c r="G49" s="1">
        <f t="shared" si="11"/>
        <v>27698</v>
      </c>
      <c r="H49" s="27">
        <f t="shared" si="12"/>
        <v>38.289480253632235</v>
      </c>
      <c r="I49" s="27">
        <f t="shared" si="13"/>
        <v>800.7479674796748</v>
      </c>
      <c r="K49" s="1"/>
    </row>
    <row r="50" spans="1:11" x14ac:dyDescent="0.25">
      <c r="A50" s="128" t="s">
        <v>132</v>
      </c>
      <c r="B50" s="1">
        <f t="shared" si="10"/>
        <v>4621</v>
      </c>
      <c r="C50" s="1">
        <f t="shared" si="11"/>
        <v>1632</v>
      </c>
      <c r="D50" s="1">
        <f t="shared" si="11"/>
        <v>69</v>
      </c>
      <c r="E50" s="1">
        <f t="shared" si="11"/>
        <v>441</v>
      </c>
      <c r="F50" s="1">
        <f t="shared" si="11"/>
        <v>606</v>
      </c>
      <c r="G50" s="1">
        <f t="shared" si="11"/>
        <v>9016</v>
      </c>
      <c r="H50" s="27">
        <f t="shared" si="12"/>
        <v>1387.7887788778878</v>
      </c>
      <c r="I50" s="27">
        <f t="shared" si="13"/>
        <v>452.45098039215691</v>
      </c>
      <c r="K50" s="1"/>
    </row>
    <row r="51" spans="1:11" x14ac:dyDescent="0.25">
      <c r="A51" s="128" t="s">
        <v>133</v>
      </c>
      <c r="B51" s="1">
        <f t="shared" si="10"/>
        <v>39634</v>
      </c>
      <c r="C51" s="1">
        <f t="shared" si="11"/>
        <v>5116</v>
      </c>
      <c r="D51" s="1">
        <f t="shared" si="11"/>
        <v>3466</v>
      </c>
      <c r="E51" s="1">
        <f t="shared" si="11"/>
        <v>4100</v>
      </c>
      <c r="F51" s="1">
        <f t="shared" si="11"/>
        <v>5988</v>
      </c>
      <c r="G51" s="1">
        <f t="shared" si="11"/>
        <v>41661</v>
      </c>
      <c r="H51" s="27">
        <f t="shared" si="12"/>
        <v>595.74148296593194</v>
      </c>
      <c r="I51" s="27">
        <f t="shared" si="13"/>
        <v>714.32759968725566</v>
      </c>
      <c r="K51" s="1"/>
    </row>
    <row r="52" spans="1:11" x14ac:dyDescent="0.25">
      <c r="A52" s="128" t="s">
        <v>134</v>
      </c>
      <c r="B52" s="1">
        <f t="shared" si="10"/>
        <v>1675</v>
      </c>
      <c r="C52" s="1">
        <f t="shared" si="11"/>
        <v>833</v>
      </c>
      <c r="D52" s="1">
        <f t="shared" si="11"/>
        <v>1756</v>
      </c>
      <c r="E52" s="1">
        <f t="shared" si="11"/>
        <v>1877</v>
      </c>
      <c r="F52" s="1">
        <f t="shared" si="11"/>
        <v>3533</v>
      </c>
      <c r="G52" s="1">
        <f t="shared" si="11"/>
        <v>8951</v>
      </c>
      <c r="H52" s="27">
        <f t="shared" si="12"/>
        <v>153.35409000849137</v>
      </c>
      <c r="I52" s="27">
        <f t="shared" si="13"/>
        <v>974.54981992797116</v>
      </c>
      <c r="K52" s="1"/>
    </row>
    <row r="53" spans="1:11" x14ac:dyDescent="0.25">
      <c r="A53" s="130" t="s">
        <v>135</v>
      </c>
      <c r="B53" s="1">
        <f t="shared" si="10"/>
        <v>33548</v>
      </c>
      <c r="C53" s="1">
        <f t="shared" si="11"/>
        <v>3863</v>
      </c>
      <c r="D53" s="1">
        <f t="shared" si="11"/>
        <v>1131</v>
      </c>
      <c r="E53" s="1">
        <f t="shared" si="11"/>
        <v>3432</v>
      </c>
      <c r="F53" s="1">
        <f t="shared" si="11"/>
        <v>7697</v>
      </c>
      <c r="G53" s="1">
        <f t="shared" si="11"/>
        <v>40083</v>
      </c>
      <c r="H53" s="27">
        <f t="shared" si="12"/>
        <v>420.76133558529295</v>
      </c>
      <c r="I53" s="27">
        <f t="shared" si="13"/>
        <v>937.61325394770915</v>
      </c>
      <c r="K53" s="1"/>
    </row>
    <row r="54" spans="1:11" ht="15.75" thickBot="1" x14ac:dyDescent="0.3">
      <c r="A54" s="111" t="s">
        <v>136</v>
      </c>
      <c r="B54" s="1">
        <f t="shared" si="10"/>
        <v>147326</v>
      </c>
      <c r="C54" s="1">
        <f t="shared" si="11"/>
        <v>13055</v>
      </c>
      <c r="D54" s="1">
        <f t="shared" si="11"/>
        <v>10147</v>
      </c>
      <c r="E54" s="1">
        <f t="shared" si="11"/>
        <v>37834</v>
      </c>
      <c r="F54" s="1">
        <f t="shared" si="11"/>
        <v>27448</v>
      </c>
      <c r="G54" s="1">
        <f t="shared" si="11"/>
        <v>188862</v>
      </c>
      <c r="H54" s="27">
        <f t="shared" si="12"/>
        <v>588.07199067327304</v>
      </c>
      <c r="I54" s="27">
        <f t="shared" si="13"/>
        <v>1346.6641133665262</v>
      </c>
      <c r="K54" s="1"/>
    </row>
    <row r="55" spans="1:11" x14ac:dyDescent="0.25">
      <c r="A55" s="131" t="s">
        <v>137</v>
      </c>
      <c r="B55" s="1">
        <f t="shared" si="10"/>
        <v>617966</v>
      </c>
      <c r="C55" s="1">
        <f t="shared" si="11"/>
        <v>85374</v>
      </c>
      <c r="D55" s="1">
        <f t="shared" si="11"/>
        <v>46799</v>
      </c>
      <c r="E55" s="1">
        <f t="shared" si="11"/>
        <v>99484</v>
      </c>
      <c r="F55" s="1">
        <f t="shared" si="11"/>
        <v>142928</v>
      </c>
      <c r="G55" s="1">
        <f t="shared" si="11"/>
        <v>768686</v>
      </c>
      <c r="H55" s="27">
        <f t="shared" si="12"/>
        <v>437.81344453151235</v>
      </c>
      <c r="I55" s="27">
        <f t="shared" si="13"/>
        <v>800.37482137418885</v>
      </c>
    </row>
  </sheetData>
  <autoFilter ref="O1:P16">
    <sortState ref="O2:P16">
      <sortCondition descending="1" ref="P1:P16"/>
    </sortState>
  </autoFilter>
  <pageMargins left="0.7" right="0.7" top="0.75" bottom="0.75" header="0.3" footer="0.3"/>
  <drawing r:id="rId1"/>
</worksheet>
</file>

<file path=xl/worksheets/sheet2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C1:EA868"/>
  <sheetViews>
    <sheetView topLeftCell="CE25" zoomScale="85" zoomScaleNormal="85" workbookViewId="0">
      <selection activeCell="CG31" sqref="CG31:DC42"/>
    </sheetView>
  </sheetViews>
  <sheetFormatPr defaultColWidth="9.140625" defaultRowHeight="15" x14ac:dyDescent="0.25"/>
  <cols>
    <col min="1" max="1" width="52.7109375" customWidth="1"/>
    <col min="2" max="2" width="42.7109375" customWidth="1"/>
    <col min="3" max="3" width="42.140625" bestFit="1" customWidth="1"/>
    <col min="4" max="4" width="60.7109375" bestFit="1" customWidth="1"/>
    <col min="5" max="5" width="11.42578125" bestFit="1" customWidth="1"/>
    <col min="6" max="6" width="13" customWidth="1"/>
    <col min="7" max="7" width="11.7109375" bestFit="1" customWidth="1"/>
    <col min="9" max="9" width="8.28515625" customWidth="1"/>
    <col min="10" max="10" width="56.5703125" bestFit="1" customWidth="1"/>
    <col min="13" max="13" width="9.28515625" bestFit="1" customWidth="1"/>
    <col min="14" max="14" width="9.7109375" bestFit="1" customWidth="1"/>
    <col min="15" max="15" width="11.42578125" bestFit="1" customWidth="1"/>
    <col min="16" max="22" width="9.7109375" bestFit="1" customWidth="1"/>
    <col min="23" max="23" width="11.28515625" customWidth="1"/>
    <col min="24" max="24" width="9.7109375" bestFit="1" customWidth="1"/>
    <col min="25" max="25" width="11" bestFit="1" customWidth="1"/>
    <col min="26" max="27" width="9.7109375" bestFit="1" customWidth="1"/>
    <col min="28" max="28" width="9.7109375" customWidth="1"/>
    <col min="29" max="29" width="9.28515625" bestFit="1" customWidth="1"/>
    <col min="30" max="30" width="10.28515625" bestFit="1" customWidth="1"/>
    <col min="31" max="31" width="10.28515625" customWidth="1"/>
    <col min="32" max="32" width="9.7109375" bestFit="1" customWidth="1"/>
    <col min="33" max="35" width="10.28515625" customWidth="1"/>
    <col min="37" max="37" width="71" customWidth="1"/>
    <col min="38" max="38" width="14.85546875" bestFit="1" customWidth="1"/>
    <col min="39" max="39" width="14.85546875" customWidth="1"/>
    <col min="40" max="40" width="15.7109375" bestFit="1" customWidth="1"/>
    <col min="41" max="41" width="16" bestFit="1" customWidth="1"/>
    <col min="42" max="44" width="14.85546875" customWidth="1"/>
    <col min="45" max="45" width="16" bestFit="1" customWidth="1"/>
    <col min="46" max="46" width="14.85546875" customWidth="1"/>
    <col min="47" max="47" width="15.140625" customWidth="1"/>
    <col min="48" max="48" width="15.85546875" bestFit="1" customWidth="1"/>
    <col min="49" max="49" width="15.85546875" customWidth="1"/>
    <col min="50" max="50" width="15.7109375" bestFit="1" customWidth="1"/>
    <col min="51" max="51" width="16.140625" bestFit="1" customWidth="1"/>
    <col min="52" max="52" width="16.28515625" bestFit="1" customWidth="1"/>
    <col min="53" max="53" width="16.28515625" customWidth="1"/>
    <col min="54" max="54" width="15.42578125" bestFit="1" customWidth="1"/>
    <col min="55" max="59" width="13" customWidth="1"/>
    <col min="60" max="60" width="13.7109375" customWidth="1"/>
    <col min="61" max="61" width="49.42578125" bestFit="1" customWidth="1"/>
    <col min="62" max="62" width="15.85546875" bestFit="1" customWidth="1"/>
    <col min="63" max="63" width="13.5703125" customWidth="1"/>
    <col min="64" max="64" width="13.42578125" customWidth="1"/>
    <col min="65" max="65" width="13.42578125" bestFit="1" customWidth="1"/>
    <col min="85" max="85" width="12.28515625" customWidth="1"/>
    <col min="101" max="102" width="12.28515625" customWidth="1"/>
    <col min="106" max="106" width="29.85546875" bestFit="1" customWidth="1"/>
    <col min="107" max="107" width="8" bestFit="1" customWidth="1"/>
    <col min="108" max="108" width="7.7109375" bestFit="1" customWidth="1"/>
    <col min="119" max="119" width="46.42578125" bestFit="1" customWidth="1"/>
    <col min="120" max="120" width="13.42578125" bestFit="1" customWidth="1"/>
    <col min="122" max="122" width="10.140625" bestFit="1" customWidth="1"/>
    <col min="123" max="123" width="10" bestFit="1" customWidth="1"/>
    <col min="126" max="126" width="46.42578125" bestFit="1" customWidth="1"/>
  </cols>
  <sheetData>
    <row r="1" spans="4:125" ht="15.75" thickBot="1" x14ac:dyDescent="0.3">
      <c r="AK1" s="33" t="s">
        <v>32</v>
      </c>
      <c r="AL1" s="171" t="s">
        <v>0</v>
      </c>
      <c r="AM1" s="94" t="s">
        <v>1</v>
      </c>
      <c r="AN1" s="94" t="s">
        <v>2</v>
      </c>
      <c r="AO1" s="94" t="s">
        <v>3</v>
      </c>
      <c r="AP1" s="94" t="s">
        <v>4</v>
      </c>
      <c r="AQ1" s="94" t="s">
        <v>5</v>
      </c>
      <c r="AR1" s="94" t="s">
        <v>6</v>
      </c>
      <c r="AS1" s="94" t="s">
        <v>7</v>
      </c>
      <c r="AT1" s="94" t="s">
        <v>27</v>
      </c>
      <c r="AU1" s="94" t="s">
        <v>33</v>
      </c>
      <c r="AV1" s="94" t="s">
        <v>10</v>
      </c>
      <c r="AW1" s="95" t="s">
        <v>11</v>
      </c>
      <c r="AX1" s="95" t="s">
        <v>12</v>
      </c>
      <c r="AY1" s="94" t="s">
        <v>13</v>
      </c>
      <c r="AZ1" s="75" t="s">
        <v>14</v>
      </c>
      <c r="BA1" s="94" t="s">
        <v>15</v>
      </c>
      <c r="BB1" s="94" t="s">
        <v>16</v>
      </c>
      <c r="BC1" s="95" t="s">
        <v>17</v>
      </c>
      <c r="BD1" s="75" t="s">
        <v>18</v>
      </c>
      <c r="BE1" s="94" t="s">
        <v>19</v>
      </c>
      <c r="BF1" s="172" t="s">
        <v>20</v>
      </c>
      <c r="BG1" s="172" t="s">
        <v>201</v>
      </c>
    </row>
    <row r="2" spans="4:125" ht="15.75" thickBot="1" x14ac:dyDescent="0.3">
      <c r="K2" s="171" t="s">
        <v>0</v>
      </c>
      <c r="L2" s="94" t="s">
        <v>1</v>
      </c>
      <c r="M2" s="94" t="s">
        <v>2</v>
      </c>
      <c r="N2" s="94" t="s">
        <v>3</v>
      </c>
      <c r="O2" s="94" t="s">
        <v>4</v>
      </c>
      <c r="P2" s="94" t="s">
        <v>5</v>
      </c>
      <c r="Q2" s="94" t="s">
        <v>6</v>
      </c>
      <c r="R2" s="94" t="s">
        <v>7</v>
      </c>
      <c r="S2" s="94" t="s">
        <v>27</v>
      </c>
      <c r="T2" s="94" t="s">
        <v>9</v>
      </c>
      <c r="U2" s="94" t="s">
        <v>10</v>
      </c>
      <c r="V2" s="95" t="s">
        <v>11</v>
      </c>
      <c r="W2" s="95" t="s">
        <v>12</v>
      </c>
      <c r="X2" s="94" t="s">
        <v>13</v>
      </c>
      <c r="Y2" s="75" t="s">
        <v>14</v>
      </c>
      <c r="Z2" s="75" t="s">
        <v>15</v>
      </c>
      <c r="AA2" s="75" t="s">
        <v>16</v>
      </c>
      <c r="AB2" s="75" t="s">
        <v>17</v>
      </c>
      <c r="AC2" s="94" t="s">
        <v>18</v>
      </c>
      <c r="AD2" s="94" t="s">
        <v>19</v>
      </c>
      <c r="AE2" s="94" t="s">
        <v>20</v>
      </c>
      <c r="AF2" s="94" t="s">
        <v>202</v>
      </c>
      <c r="AG2" s="94" t="s">
        <v>21</v>
      </c>
      <c r="AH2" s="94" t="s">
        <v>22</v>
      </c>
      <c r="AI2" s="94" t="s">
        <v>203</v>
      </c>
      <c r="AL2" s="2">
        <v>441.23599999999999</v>
      </c>
      <c r="AM2" s="2">
        <v>458.33</v>
      </c>
      <c r="AN2" s="2">
        <v>508.774</v>
      </c>
      <c r="AO2" s="2">
        <v>563.25</v>
      </c>
      <c r="AP2" s="2">
        <v>605.04</v>
      </c>
      <c r="AQ2" s="2">
        <v>622.48</v>
      </c>
      <c r="AR2" s="2">
        <v>644.72400000000005</v>
      </c>
      <c r="AS2" s="2">
        <v>610.65899999999999</v>
      </c>
      <c r="AT2" s="2">
        <v>580.36800000000005</v>
      </c>
      <c r="AU2" s="2">
        <v>619.12099999999998</v>
      </c>
      <c r="AV2" s="2">
        <v>644.70799999999997</v>
      </c>
      <c r="AW2" s="2">
        <v>667.404</v>
      </c>
      <c r="AX2" s="2">
        <v>624.45000000000005</v>
      </c>
      <c r="AY2" s="2">
        <v>684.56200000000001</v>
      </c>
      <c r="AZ2" s="2">
        <v>722.61300000000006</v>
      </c>
      <c r="BA2" s="2">
        <v>746.51700000000005</v>
      </c>
      <c r="BB2" s="2">
        <v>728.85699999999997</v>
      </c>
      <c r="BC2" s="2">
        <v>733.13207</v>
      </c>
      <c r="BD2" s="2">
        <v>775.62900000000002</v>
      </c>
      <c r="BE2" s="2">
        <v>812.51400000000001</v>
      </c>
      <c r="BF2" s="2">
        <v>814.923</v>
      </c>
      <c r="BG2" s="2">
        <v>814.46900000000005</v>
      </c>
      <c r="BI2" s="173" t="s">
        <v>32</v>
      </c>
      <c r="BJ2" s="77" t="s">
        <v>0</v>
      </c>
      <c r="BK2" s="31" t="s">
        <v>1</v>
      </c>
      <c r="BL2" s="31" t="s">
        <v>2</v>
      </c>
      <c r="BM2" s="31" t="s">
        <v>3</v>
      </c>
      <c r="BN2" s="31" t="s">
        <v>4</v>
      </c>
      <c r="BO2" s="31" t="s">
        <v>5</v>
      </c>
      <c r="BP2" s="31" t="s">
        <v>6</v>
      </c>
      <c r="BQ2" s="31" t="s">
        <v>7</v>
      </c>
      <c r="BR2" s="31" t="s">
        <v>27</v>
      </c>
      <c r="BS2" s="31" t="s">
        <v>9</v>
      </c>
      <c r="BT2" s="31" t="s">
        <v>10</v>
      </c>
      <c r="BU2" s="174" t="s">
        <v>11</v>
      </c>
      <c r="BV2" s="174" t="s">
        <v>12</v>
      </c>
      <c r="BW2" s="3" t="s">
        <v>204</v>
      </c>
      <c r="BX2" s="3" t="s">
        <v>14</v>
      </c>
      <c r="BY2" s="3" t="s">
        <v>15</v>
      </c>
      <c r="BZ2" s="3" t="s">
        <v>16</v>
      </c>
      <c r="CA2" s="3" t="s">
        <v>17</v>
      </c>
      <c r="CB2" s="3" t="s">
        <v>18</v>
      </c>
      <c r="CC2" s="3" t="s">
        <v>19</v>
      </c>
      <c r="CD2" s="3" t="s">
        <v>20</v>
      </c>
      <c r="CE2" s="3" t="s">
        <v>201</v>
      </c>
      <c r="CP2" s="191"/>
      <c r="CQ2" s="191"/>
      <c r="CR2" s="191"/>
      <c r="CS2" s="191"/>
      <c r="CT2" s="191"/>
      <c r="CU2" s="191"/>
      <c r="CV2" s="191"/>
      <c r="CW2" s="27"/>
      <c r="CX2" s="27"/>
      <c r="CY2" s="27"/>
      <c r="DA2" s="2"/>
    </row>
    <row r="3" spans="4:125" ht="15.75" thickBot="1" x14ac:dyDescent="0.3">
      <c r="J3" s="24" t="s">
        <v>28</v>
      </c>
      <c r="K3" s="4">
        <v>108687</v>
      </c>
      <c r="L3" s="5">
        <v>122266</v>
      </c>
      <c r="M3" s="5">
        <v>159079</v>
      </c>
      <c r="N3" s="5">
        <v>252637</v>
      </c>
      <c r="O3" s="5">
        <v>292254</v>
      </c>
      <c r="P3" s="5">
        <v>314296</v>
      </c>
      <c r="Q3" s="5">
        <v>329297</v>
      </c>
      <c r="R3" s="5">
        <v>305031</v>
      </c>
      <c r="S3" s="5">
        <v>296198</v>
      </c>
      <c r="T3" s="5">
        <v>317654</v>
      </c>
      <c r="U3" s="28">
        <v>330403</v>
      </c>
      <c r="V3" s="5">
        <v>336233</v>
      </c>
      <c r="W3" s="5">
        <v>309922</v>
      </c>
      <c r="X3" s="5">
        <v>334360</v>
      </c>
      <c r="Y3" s="28">
        <v>348750</v>
      </c>
      <c r="Z3" s="28">
        <v>357578</v>
      </c>
      <c r="AA3" s="28">
        <v>348857</v>
      </c>
      <c r="AB3" s="28">
        <v>340813.73</v>
      </c>
      <c r="AC3" s="82">
        <v>362948</v>
      </c>
      <c r="AD3" s="82">
        <v>373263</v>
      </c>
      <c r="AE3" s="82">
        <v>365757</v>
      </c>
      <c r="AF3" s="82">
        <v>362288</v>
      </c>
      <c r="AG3" s="82"/>
      <c r="AH3" s="82"/>
      <c r="AI3" s="82"/>
      <c r="AK3" s="1"/>
      <c r="BI3" s="177" t="s">
        <v>34</v>
      </c>
      <c r="BJ3" s="178">
        <v>108.687</v>
      </c>
      <c r="BK3" s="179">
        <v>122.26600000000001</v>
      </c>
      <c r="BL3" s="179">
        <v>159.07900000000001</v>
      </c>
      <c r="BM3" s="179">
        <v>252.637</v>
      </c>
      <c r="BN3" s="179">
        <v>292.25400000000002</v>
      </c>
      <c r="BO3" s="179">
        <v>314.29599999999999</v>
      </c>
      <c r="BP3" s="179">
        <v>329.29700000000003</v>
      </c>
      <c r="BQ3" s="179">
        <v>305.03100000000001</v>
      </c>
      <c r="BR3" s="179">
        <v>296.19799999999998</v>
      </c>
      <c r="BS3" s="179">
        <v>317.654</v>
      </c>
      <c r="BT3" s="179">
        <v>330.40300000000002</v>
      </c>
      <c r="BU3" s="180">
        <v>336.233</v>
      </c>
      <c r="BV3" s="181">
        <v>309.92200000000003</v>
      </c>
      <c r="BW3" s="182">
        <v>334.36</v>
      </c>
      <c r="BX3" s="182">
        <v>348.75</v>
      </c>
      <c r="BY3" s="182">
        <v>357.57799999999997</v>
      </c>
      <c r="BZ3" s="182">
        <v>348.85700000000003</v>
      </c>
      <c r="CA3" s="182">
        <v>340.81373000000002</v>
      </c>
      <c r="CB3" s="182">
        <v>362.94799999999998</v>
      </c>
      <c r="CC3" s="182">
        <v>373.26299999999998</v>
      </c>
      <c r="CD3" s="182">
        <v>365.75700000000001</v>
      </c>
      <c r="CE3" s="182">
        <v>362.28800000000001</v>
      </c>
      <c r="CP3" s="191"/>
      <c r="CQ3" s="191"/>
      <c r="CR3" s="191"/>
      <c r="CS3" s="191"/>
      <c r="CT3" s="191"/>
      <c r="CU3" s="191"/>
      <c r="CV3" s="191"/>
      <c r="CW3" s="27"/>
      <c r="CX3" s="27"/>
      <c r="CY3" s="27"/>
      <c r="DA3" s="2"/>
    </row>
    <row r="4" spans="4:125" ht="15.75" thickBot="1" x14ac:dyDescent="0.3">
      <c r="J4" s="23" t="s">
        <v>29</v>
      </c>
      <c r="K4" s="98">
        <v>2785</v>
      </c>
      <c r="L4" s="5">
        <v>2978</v>
      </c>
      <c r="M4" s="5">
        <v>3136</v>
      </c>
      <c r="N4" s="5">
        <v>3611</v>
      </c>
      <c r="O4" s="5">
        <v>3956</v>
      </c>
      <c r="P4" s="5">
        <v>4866</v>
      </c>
      <c r="Q4" s="5">
        <v>6492</v>
      </c>
      <c r="R4" s="5">
        <v>4127</v>
      </c>
      <c r="S4" s="5">
        <v>8278</v>
      </c>
      <c r="T4" s="5">
        <v>8522</v>
      </c>
      <c r="U4" s="28">
        <v>4037</v>
      </c>
      <c r="V4" s="28">
        <v>4079</v>
      </c>
      <c r="W4" s="28">
        <v>7429</v>
      </c>
      <c r="X4" s="5">
        <v>4989</v>
      </c>
      <c r="Y4" s="5">
        <v>4726</v>
      </c>
      <c r="Z4" s="58">
        <v>5036</v>
      </c>
      <c r="AA4" s="28">
        <v>5632</v>
      </c>
      <c r="AB4" s="28">
        <v>5583.8</v>
      </c>
      <c r="AC4" s="5">
        <v>5405</v>
      </c>
      <c r="AD4" s="5">
        <v>6031</v>
      </c>
      <c r="AE4" s="5">
        <v>6147</v>
      </c>
      <c r="AF4" s="5">
        <v>6064</v>
      </c>
      <c r="AG4" s="5"/>
      <c r="AH4" s="5"/>
      <c r="AI4" s="5"/>
      <c r="AJ4" s="86"/>
      <c r="AK4" s="1"/>
      <c r="BV4" s="27">
        <f>BZ3/BV3*100-100</f>
        <v>12.562838391595307</v>
      </c>
      <c r="BZ4" s="27">
        <f>BZ3/BY3*100-100</f>
        <v>-2.4389084339640448</v>
      </c>
      <c r="CA4" s="27"/>
      <c r="CB4" s="27"/>
      <c r="CC4" s="27"/>
      <c r="CD4" s="27"/>
      <c r="CP4" s="191"/>
      <c r="CQ4" s="191"/>
      <c r="CR4" s="191"/>
      <c r="CS4" s="191"/>
      <c r="CT4" s="191"/>
      <c r="CU4" s="191"/>
      <c r="CV4" s="191"/>
      <c r="CW4" s="27"/>
      <c r="CX4" s="27"/>
      <c r="CY4" s="27"/>
      <c r="DA4" s="2"/>
    </row>
    <row r="5" spans="4:125" ht="18" customHeight="1" thickBot="1" x14ac:dyDescent="0.3">
      <c r="W5" s="1"/>
      <c r="X5" s="1"/>
      <c r="Y5" s="86"/>
      <c r="AD5" s="1"/>
      <c r="AE5" s="1"/>
      <c r="AF5" s="32"/>
      <c r="AG5" s="1"/>
      <c r="AH5" s="1"/>
      <c r="AI5" s="1"/>
      <c r="AM5" t="s">
        <v>207</v>
      </c>
      <c r="AN5" t="s">
        <v>208</v>
      </c>
      <c r="AO5" t="s">
        <v>209</v>
      </c>
      <c r="AP5" t="s">
        <v>210</v>
      </c>
      <c r="AQ5" t="s">
        <v>211</v>
      </c>
      <c r="AR5" t="s">
        <v>212</v>
      </c>
      <c r="AS5" t="s">
        <v>213</v>
      </c>
      <c r="AT5" t="s">
        <v>214</v>
      </c>
      <c r="AU5" t="s">
        <v>215</v>
      </c>
      <c r="CP5" s="189"/>
      <c r="CQ5" s="190"/>
      <c r="CR5" s="190"/>
      <c r="CS5" s="190"/>
      <c r="CT5" s="189"/>
      <c r="CU5" s="191"/>
      <c r="CV5" s="191"/>
      <c r="CW5" s="27"/>
      <c r="CX5" s="27"/>
      <c r="CY5" s="27"/>
      <c r="DA5" s="2"/>
    </row>
    <row r="6" spans="4:125" ht="15.75" thickBot="1" x14ac:dyDescent="0.3">
      <c r="J6" s="8" t="s">
        <v>30</v>
      </c>
      <c r="K6" s="9">
        <v>53.479521390063226</v>
      </c>
      <c r="L6" s="10">
        <v>54.035349986559837</v>
      </c>
      <c r="M6" s="10">
        <v>55.02067706575999</v>
      </c>
      <c r="N6" s="10">
        <v>57.152917157950064</v>
      </c>
      <c r="O6" s="10">
        <v>60.637949229848729</v>
      </c>
      <c r="P6" s="10">
        <v>61.877723701371004</v>
      </c>
      <c r="Q6" s="10">
        <v>60.072789073812146</v>
      </c>
      <c r="R6" s="10">
        <v>57.037671488776645</v>
      </c>
      <c r="S6" s="10">
        <v>56.304862431603866</v>
      </c>
      <c r="T6" s="10">
        <v>57.724531580988746</v>
      </c>
      <c r="U6" s="192">
        <v>58.087453554039492</v>
      </c>
      <c r="V6" s="10">
        <v>57.367867310310686</v>
      </c>
      <c r="W6" s="10">
        <v>55.280972881382937</v>
      </c>
      <c r="X6" s="10">
        <v>56.809605887415138</v>
      </c>
      <c r="Y6" s="193">
        <v>58.585983883874391</v>
      </c>
      <c r="Z6" s="10">
        <v>57.73602591836088</v>
      </c>
      <c r="AA6" s="192">
        <v>57.221578887453902</v>
      </c>
      <c r="AB6" s="192">
        <v>56.731817909184478</v>
      </c>
      <c r="AC6" s="192">
        <v>59.387434927786018</v>
      </c>
      <c r="AD6" s="192">
        <v>57.799036391069016</v>
      </c>
      <c r="AE6" s="192">
        <v>56.932242832321847</v>
      </c>
      <c r="AF6" s="192">
        <v>56.932242832321847</v>
      </c>
      <c r="AG6" s="192"/>
      <c r="AH6" s="192"/>
      <c r="AI6" s="192"/>
      <c r="AL6" s="194" t="s">
        <v>218</v>
      </c>
      <c r="AM6" s="195">
        <v>340813.73</v>
      </c>
      <c r="AN6" s="196">
        <v>5583.8</v>
      </c>
      <c r="AO6" s="197">
        <v>346397.53</v>
      </c>
      <c r="AP6" s="195">
        <v>392318.33999999997</v>
      </c>
      <c r="AQ6" s="196">
        <v>553560.84</v>
      </c>
      <c r="AR6" s="197">
        <v>945879.17999999993</v>
      </c>
      <c r="AS6" s="198">
        <v>1292276.71</v>
      </c>
      <c r="AT6" s="195">
        <v>733132.07</v>
      </c>
      <c r="AU6" s="199">
        <v>559144.64</v>
      </c>
      <c r="CP6" s="191"/>
      <c r="CQ6" s="191"/>
      <c r="CR6" s="191"/>
      <c r="CS6" s="191"/>
      <c r="CT6" s="191"/>
      <c r="CU6" s="191"/>
      <c r="CV6" s="191"/>
      <c r="CW6" s="2"/>
      <c r="CX6" s="86"/>
      <c r="CY6" s="27"/>
      <c r="CZ6" s="2"/>
      <c r="DA6" s="191"/>
    </row>
    <row r="7" spans="4:125" ht="15.75" thickBot="1" x14ac:dyDescent="0.3">
      <c r="J7" s="22" t="s">
        <v>31</v>
      </c>
      <c r="K7" s="18">
        <v>46.52059981383082</v>
      </c>
      <c r="L7" s="11">
        <v>45.964650013440163</v>
      </c>
      <c r="M7" s="11">
        <v>44.97932293424001</v>
      </c>
      <c r="N7" s="11">
        <v>42.847082842049936</v>
      </c>
      <c r="O7" s="11">
        <v>39.361950548762216</v>
      </c>
      <c r="P7" s="11">
        <v>38.122375703788528</v>
      </c>
      <c r="Q7" s="11">
        <v>39.927117750210108</v>
      </c>
      <c r="R7" s="11">
        <v>42.962421914696478</v>
      </c>
      <c r="S7" s="11">
        <v>43.695137568396134</v>
      </c>
      <c r="T7" s="11">
        <v>42.275468419011247</v>
      </c>
      <c r="U7" s="200">
        <v>41.912546445960508</v>
      </c>
      <c r="V7" s="200">
        <v>42.632132689689314</v>
      </c>
      <c r="W7" s="200">
        <v>44.719027118617063</v>
      </c>
      <c r="X7" s="11">
        <v>43.190394112584862</v>
      </c>
      <c r="Y7" s="11">
        <v>41.414016116125616</v>
      </c>
      <c r="Z7" s="11">
        <v>42.26397408163912</v>
      </c>
      <c r="AA7" s="201">
        <v>42.77842111254607</v>
      </c>
      <c r="AB7" s="202">
        <v>43.268182090815522</v>
      </c>
      <c r="AC7" s="202">
        <v>40.612488505408294</v>
      </c>
      <c r="AD7" s="202">
        <v>42.201034744980817</v>
      </c>
      <c r="AE7" s="202">
        <v>43.067687305565002</v>
      </c>
      <c r="AF7" s="202">
        <v>43.067687305565002</v>
      </c>
      <c r="AG7" s="202"/>
      <c r="AH7" s="202"/>
      <c r="AI7" s="202"/>
      <c r="AK7" s="1"/>
      <c r="DA7" s="86"/>
    </row>
    <row r="8" spans="4:125" ht="15.75" thickBot="1" x14ac:dyDescent="0.3">
      <c r="X8" s="1"/>
      <c r="AD8" s="27"/>
      <c r="AJ8" s="86"/>
      <c r="DA8" s="191"/>
      <c r="DT8" s="27"/>
    </row>
    <row r="9" spans="4:125" ht="15.75" thickBot="1" x14ac:dyDescent="0.3">
      <c r="J9" s="33" t="s">
        <v>32</v>
      </c>
      <c r="K9" s="171" t="s">
        <v>0</v>
      </c>
      <c r="L9" s="94" t="s">
        <v>1</v>
      </c>
      <c r="M9" s="94" t="s">
        <v>2</v>
      </c>
      <c r="N9" s="94" t="s">
        <v>3</v>
      </c>
      <c r="O9" s="94" t="s">
        <v>4</v>
      </c>
      <c r="P9" s="94" t="s">
        <v>5</v>
      </c>
      <c r="Q9" s="94" t="s">
        <v>6</v>
      </c>
      <c r="R9" s="94" t="s">
        <v>7</v>
      </c>
      <c r="S9" s="94" t="s">
        <v>27</v>
      </c>
      <c r="T9" s="94" t="s">
        <v>33</v>
      </c>
      <c r="U9" s="94" t="s">
        <v>10</v>
      </c>
      <c r="V9" s="95" t="s">
        <v>11</v>
      </c>
      <c r="W9" s="95" t="s">
        <v>12</v>
      </c>
      <c r="X9" s="94" t="s">
        <v>13</v>
      </c>
      <c r="Y9" s="75" t="s">
        <v>14</v>
      </c>
      <c r="Z9" s="94" t="s">
        <v>15</v>
      </c>
      <c r="AA9" s="75" t="s">
        <v>16</v>
      </c>
      <c r="AB9" s="94" t="s">
        <v>17</v>
      </c>
      <c r="AC9" s="73" t="s">
        <v>18</v>
      </c>
      <c r="AD9" s="73" t="s">
        <v>19</v>
      </c>
      <c r="AE9" s="94" t="s">
        <v>20</v>
      </c>
      <c r="AF9" s="94" t="s">
        <v>202</v>
      </c>
      <c r="AG9" s="94" t="s">
        <v>21</v>
      </c>
      <c r="AH9" s="94" t="s">
        <v>22</v>
      </c>
      <c r="AI9" s="94" t="s">
        <v>203</v>
      </c>
      <c r="AJ9" s="2"/>
      <c r="AP9" s="32"/>
      <c r="DA9" s="2"/>
    </row>
    <row r="10" spans="4:125" ht="16.5" customHeight="1" thickBot="1" x14ac:dyDescent="0.4">
      <c r="D10" s="1108" t="s">
        <v>224</v>
      </c>
      <c r="E10" s="1108"/>
      <c r="F10" s="1108"/>
      <c r="J10" s="24" t="s">
        <v>34</v>
      </c>
      <c r="K10" s="4">
        <v>108687</v>
      </c>
      <c r="L10" s="5">
        <v>122266</v>
      </c>
      <c r="M10" s="5">
        <v>159079</v>
      </c>
      <c r="N10" s="5">
        <v>252637</v>
      </c>
      <c r="O10" s="5">
        <v>292254</v>
      </c>
      <c r="P10" s="5">
        <v>314296</v>
      </c>
      <c r="Q10" s="5">
        <v>329297</v>
      </c>
      <c r="R10" s="5">
        <v>305031</v>
      </c>
      <c r="S10" s="5">
        <v>296198</v>
      </c>
      <c r="T10" s="5">
        <v>317654</v>
      </c>
      <c r="U10" s="28">
        <v>330403</v>
      </c>
      <c r="V10" s="5">
        <v>336233</v>
      </c>
      <c r="W10" s="5">
        <v>309922</v>
      </c>
      <c r="X10" s="5">
        <v>334360</v>
      </c>
      <c r="Y10" s="28">
        <v>348750</v>
      </c>
      <c r="Z10" s="5">
        <v>357578</v>
      </c>
      <c r="AA10" s="58">
        <f>'[15]2019. IV. Állomány adatok'!O17</f>
        <v>348857</v>
      </c>
      <c r="AB10" s="5">
        <v>340813.73</v>
      </c>
      <c r="AC10" s="98">
        <f>'[15]2020. II. Állományi adatok'!O18</f>
        <v>362948</v>
      </c>
      <c r="AD10" s="98">
        <v>373263</v>
      </c>
      <c r="AE10" s="98">
        <v>365757</v>
      </c>
      <c r="AF10" s="98">
        <v>362288</v>
      </c>
      <c r="AG10" s="98"/>
      <c r="AH10" s="98"/>
      <c r="AI10" s="98"/>
      <c r="AJ10" s="86"/>
      <c r="DA10" s="191"/>
      <c r="DO10" s="33" t="s">
        <v>226</v>
      </c>
      <c r="DP10" s="3" t="s">
        <v>20</v>
      </c>
    </row>
    <row r="11" spans="4:125" x14ac:dyDescent="0.25">
      <c r="D11" s="1" t="s">
        <v>119</v>
      </c>
      <c r="E11" t="s">
        <v>164</v>
      </c>
      <c r="F11" s="203">
        <v>334360</v>
      </c>
      <c r="J11" s="25" t="s">
        <v>35</v>
      </c>
      <c r="K11" s="4">
        <v>332549</v>
      </c>
      <c r="L11" s="5">
        <v>336064</v>
      </c>
      <c r="M11" s="5">
        <v>349695</v>
      </c>
      <c r="N11" s="5">
        <v>310613</v>
      </c>
      <c r="O11" s="5">
        <v>312786</v>
      </c>
      <c r="P11" s="5">
        <v>308184</v>
      </c>
      <c r="Q11" s="5">
        <v>315427</v>
      </c>
      <c r="R11" s="5">
        <v>305628</v>
      </c>
      <c r="S11" s="5">
        <v>284170</v>
      </c>
      <c r="T11" s="5">
        <v>301467</v>
      </c>
      <c r="U11" s="28">
        <v>314305</v>
      </c>
      <c r="V11" s="5">
        <v>331171</v>
      </c>
      <c r="W11" s="5">
        <v>314528</v>
      </c>
      <c r="X11" s="5">
        <v>350202</v>
      </c>
      <c r="Y11" s="28">
        <v>373863</v>
      </c>
      <c r="Z11" s="5">
        <v>388939</v>
      </c>
      <c r="AA11" s="58">
        <f>'[15]2019. IV. Állomány adatok'!O59</f>
        <v>380000</v>
      </c>
      <c r="AB11" s="5">
        <v>392318.33999999997</v>
      </c>
      <c r="AC11" s="5">
        <f>'[15]2020. II. Állományi adatok'!O65</f>
        <v>412681</v>
      </c>
      <c r="AD11" s="5">
        <v>439251</v>
      </c>
      <c r="AE11" s="5">
        <v>449166</v>
      </c>
      <c r="AF11" s="5">
        <v>452181</v>
      </c>
      <c r="AG11" s="5"/>
      <c r="AH11" s="5"/>
      <c r="AI11" s="5"/>
      <c r="AJ11" s="86"/>
      <c r="DA11" s="86"/>
      <c r="DO11" s="204" t="s">
        <v>110</v>
      </c>
      <c r="DP11" s="205">
        <v>48.017788276779108</v>
      </c>
    </row>
    <row r="12" spans="4:125" x14ac:dyDescent="0.25">
      <c r="E12" t="s">
        <v>165</v>
      </c>
      <c r="F12" s="206">
        <v>4989</v>
      </c>
      <c r="J12" s="207" t="s">
        <v>36</v>
      </c>
      <c r="K12" s="30">
        <f t="shared" ref="K12:Z12" si="0">K10+K11</f>
        <v>441236</v>
      </c>
      <c r="L12" s="148">
        <f t="shared" si="0"/>
        <v>458330</v>
      </c>
      <c r="M12" s="148">
        <f t="shared" si="0"/>
        <v>508774</v>
      </c>
      <c r="N12" s="148">
        <f t="shared" si="0"/>
        <v>563250</v>
      </c>
      <c r="O12" s="148">
        <f t="shared" si="0"/>
        <v>605040</v>
      </c>
      <c r="P12" s="148">
        <f t="shared" si="0"/>
        <v>622480</v>
      </c>
      <c r="Q12" s="148">
        <f t="shared" si="0"/>
        <v>644724</v>
      </c>
      <c r="R12" s="148">
        <f t="shared" si="0"/>
        <v>610659</v>
      </c>
      <c r="S12" s="148">
        <f>S10+S11</f>
        <v>580368</v>
      </c>
      <c r="T12" s="148">
        <f t="shared" si="0"/>
        <v>619121</v>
      </c>
      <c r="U12" s="148">
        <f t="shared" si="0"/>
        <v>644708</v>
      </c>
      <c r="V12" s="148">
        <f t="shared" si="0"/>
        <v>667404</v>
      </c>
      <c r="W12" s="148">
        <f t="shared" si="0"/>
        <v>624450</v>
      </c>
      <c r="X12" s="148">
        <f t="shared" si="0"/>
        <v>684562</v>
      </c>
      <c r="Y12" s="208">
        <f t="shared" si="0"/>
        <v>722613</v>
      </c>
      <c r="Z12" s="148">
        <f t="shared" si="0"/>
        <v>746517</v>
      </c>
      <c r="AA12" s="209">
        <f>AA10+AA11</f>
        <v>728857</v>
      </c>
      <c r="AB12" s="148">
        <f>AB10+AB11</f>
        <v>733132.07</v>
      </c>
      <c r="AC12" s="148">
        <f>AC10+AC11</f>
        <v>775629</v>
      </c>
      <c r="AD12" s="148">
        <f>AD10+AD11</f>
        <v>812514</v>
      </c>
      <c r="AE12" s="148">
        <f>AE10+AE11</f>
        <v>814923</v>
      </c>
      <c r="AF12" s="148">
        <v>814469</v>
      </c>
      <c r="AG12" s="148"/>
      <c r="AH12" s="148"/>
      <c r="AI12" s="148"/>
      <c r="AJ12" s="86"/>
      <c r="DA12" s="191"/>
      <c r="DO12" s="210" t="s">
        <v>229</v>
      </c>
      <c r="DP12" s="211">
        <v>9.681031445027374</v>
      </c>
    </row>
    <row r="13" spans="4:125" ht="15.75" thickBot="1" x14ac:dyDescent="0.3">
      <c r="E13" t="s">
        <v>177</v>
      </c>
      <c r="F13" s="72">
        <v>339349</v>
      </c>
      <c r="J13" s="25" t="s">
        <v>230</v>
      </c>
      <c r="K13" s="212">
        <v>0</v>
      </c>
      <c r="L13" s="14">
        <f>L12/K12*100-100</f>
        <v>3.8741172524454015</v>
      </c>
      <c r="M13" s="14">
        <f t="shared" ref="M13:T13" si="1">M12/L12*100-100</f>
        <v>11.006043680317674</v>
      </c>
      <c r="N13" s="14">
        <f t="shared" si="1"/>
        <v>10.707308156470248</v>
      </c>
      <c r="O13" s="14">
        <f t="shared" si="1"/>
        <v>7.4194407456724463</v>
      </c>
      <c r="P13" s="14">
        <f t="shared" si="1"/>
        <v>2.8824540526246096</v>
      </c>
      <c r="Q13" s="14">
        <f t="shared" si="1"/>
        <v>3.5734481429122269</v>
      </c>
      <c r="R13" s="14">
        <f t="shared" si="1"/>
        <v>-5.2836562622145351</v>
      </c>
      <c r="S13" s="14">
        <f t="shared" si="1"/>
        <v>-4.9603788693853801</v>
      </c>
      <c r="T13" s="14">
        <f t="shared" si="1"/>
        <v>6.6773150828439896</v>
      </c>
      <c r="U13" s="29">
        <f>U12/T12*100-100</f>
        <v>4.1327947202566264</v>
      </c>
      <c r="V13" s="14">
        <f>V12/U12*100-100</f>
        <v>3.520353400299058</v>
      </c>
      <c r="W13" s="14">
        <f>W12/V12*100-100</f>
        <v>-6.4359818041246371</v>
      </c>
      <c r="X13" s="14">
        <f>X12/V12*100-100</f>
        <v>2.5708566325643716</v>
      </c>
      <c r="Y13" s="29">
        <f t="shared" ref="Y13:AF13" si="2">Y12/X12*100-100</f>
        <v>5.5584446697304344</v>
      </c>
      <c r="Z13" s="14">
        <f t="shared" si="2"/>
        <v>3.3079947357714303</v>
      </c>
      <c r="AA13" s="57">
        <f t="shared" si="2"/>
        <v>-2.3656527580751714</v>
      </c>
      <c r="AB13" s="14">
        <f t="shared" si="2"/>
        <v>0.58654441131797341</v>
      </c>
      <c r="AC13" s="14">
        <f t="shared" si="2"/>
        <v>5.7966267933143456</v>
      </c>
      <c r="AD13" s="14">
        <f>AD12/AC12*100-100</f>
        <v>4.7554952174299672</v>
      </c>
      <c r="AE13" s="14">
        <f t="shared" si="2"/>
        <v>0.29648719898980858</v>
      </c>
      <c r="AF13" s="14">
        <f t="shared" si="2"/>
        <v>-5.5710784945333103E-2</v>
      </c>
      <c r="AG13" s="14"/>
      <c r="AH13" s="14"/>
      <c r="AI13" s="14"/>
      <c r="AZ13" s="32"/>
      <c r="DA13" s="191"/>
      <c r="DO13" s="213" t="s">
        <v>115</v>
      </c>
      <c r="DP13" s="214">
        <v>11.930840830037729</v>
      </c>
    </row>
    <row r="14" spans="4:125" ht="15.75" thickBot="1" x14ac:dyDescent="0.3">
      <c r="J14" s="15" t="s">
        <v>37</v>
      </c>
      <c r="K14" s="215">
        <f t="shared" ref="K14:AF14" si="3">K10/K12*100</f>
        <v>24.632396268663481</v>
      </c>
      <c r="L14" s="14">
        <f t="shared" si="3"/>
        <v>26.676412192088673</v>
      </c>
      <c r="M14" s="14">
        <f t="shared" si="3"/>
        <v>31.26712449928652</v>
      </c>
      <c r="N14" s="14">
        <f t="shared" si="3"/>
        <v>44.853439857967153</v>
      </c>
      <c r="O14" s="14">
        <f t="shared" si="3"/>
        <v>48.303252677508922</v>
      </c>
      <c r="P14" s="14">
        <f t="shared" si="3"/>
        <v>50.490939467934716</v>
      </c>
      <c r="Q14" s="14">
        <f t="shared" si="3"/>
        <v>51.075654078334296</v>
      </c>
      <c r="R14" s="14">
        <f t="shared" si="3"/>
        <v>49.951118381944752</v>
      </c>
      <c r="S14" s="14">
        <f t="shared" si="3"/>
        <v>51.036239075896674</v>
      </c>
      <c r="T14" s="14">
        <f t="shared" si="3"/>
        <v>51.307256578277915</v>
      </c>
      <c r="U14" s="29">
        <f t="shared" si="3"/>
        <v>51.248472176551239</v>
      </c>
      <c r="V14" s="14">
        <f t="shared" si="3"/>
        <v>50.37923057098849</v>
      </c>
      <c r="W14" s="14">
        <f t="shared" si="3"/>
        <v>49.631195451997755</v>
      </c>
      <c r="X14" s="14">
        <f t="shared" si="3"/>
        <v>48.842909772964319</v>
      </c>
      <c r="Y14" s="29">
        <f t="shared" si="3"/>
        <v>48.262347895761629</v>
      </c>
      <c r="Z14" s="14">
        <f t="shared" si="3"/>
        <v>47.899512000396513</v>
      </c>
      <c r="AA14" s="57">
        <f t="shared" si="3"/>
        <v>47.863572689841767</v>
      </c>
      <c r="AB14" s="14">
        <f t="shared" si="3"/>
        <v>46.487358000857881</v>
      </c>
      <c r="AC14" s="14">
        <f t="shared" si="3"/>
        <v>46.794021368463525</v>
      </c>
      <c r="AD14" s="14">
        <f t="shared" si="3"/>
        <v>45.939269969502064</v>
      </c>
      <c r="AE14" s="14">
        <f t="shared" si="3"/>
        <v>44.882399932263539</v>
      </c>
      <c r="AF14" s="14">
        <f t="shared" si="3"/>
        <v>44.481496533324169</v>
      </c>
      <c r="AG14" s="14"/>
      <c r="AH14" s="14"/>
      <c r="AI14" s="14"/>
      <c r="AK14" s="1109" t="s">
        <v>232</v>
      </c>
      <c r="AL14" s="1110"/>
      <c r="AM14" s="1110"/>
      <c r="AN14" s="1110"/>
      <c r="AO14" s="1110"/>
      <c r="AP14" s="1110"/>
      <c r="AQ14" s="1110"/>
      <c r="AR14" s="1110"/>
      <c r="AS14" s="1110"/>
      <c r="AT14" s="1110"/>
      <c r="AU14" s="1110"/>
      <c r="AV14" s="1110"/>
      <c r="AW14" s="1110"/>
      <c r="AX14" s="1110"/>
      <c r="AY14" s="1110"/>
      <c r="AZ14" s="1110"/>
      <c r="BA14" s="1110"/>
      <c r="BB14" s="1111"/>
      <c r="DO14" s="210" t="s">
        <v>233</v>
      </c>
      <c r="DP14" s="211">
        <f>DR22/DP29*100</f>
        <v>2.0696920324776018</v>
      </c>
      <c r="DR14" s="27"/>
      <c r="DS14" s="27"/>
    </row>
    <row r="15" spans="4:125" ht="15.75" thickBot="1" x14ac:dyDescent="0.3">
      <c r="J15" s="15" t="s">
        <v>38</v>
      </c>
      <c r="K15" s="215">
        <f t="shared" ref="K15:AF15" si="4">K11/K12*100</f>
        <v>75.367603731336516</v>
      </c>
      <c r="L15" s="215">
        <f t="shared" si="4"/>
        <v>73.323587807911323</v>
      </c>
      <c r="M15" s="215">
        <f t="shared" si="4"/>
        <v>68.732875500713476</v>
      </c>
      <c r="N15" s="215">
        <f t="shared" si="4"/>
        <v>55.14656014203284</v>
      </c>
      <c r="O15" s="215">
        <f t="shared" si="4"/>
        <v>51.696747322491078</v>
      </c>
      <c r="P15" s="215">
        <f t="shared" si="4"/>
        <v>49.509060532065284</v>
      </c>
      <c r="Q15" s="215">
        <f t="shared" si="4"/>
        <v>48.924345921665704</v>
      </c>
      <c r="R15" s="215">
        <f t="shared" si="4"/>
        <v>50.048881618055255</v>
      </c>
      <c r="S15" s="215">
        <f t="shared" si="4"/>
        <v>48.963760924103326</v>
      </c>
      <c r="T15" s="215">
        <f t="shared" si="4"/>
        <v>48.692743421722085</v>
      </c>
      <c r="U15" s="29">
        <f t="shared" si="4"/>
        <v>48.751527823448754</v>
      </c>
      <c r="V15" s="14">
        <f t="shared" si="4"/>
        <v>49.62076942901151</v>
      </c>
      <c r="W15" s="14">
        <f t="shared" si="4"/>
        <v>50.368804548002245</v>
      </c>
      <c r="X15" s="14">
        <f t="shared" si="4"/>
        <v>51.157090227035681</v>
      </c>
      <c r="Y15" s="29">
        <f t="shared" si="4"/>
        <v>51.737652104238364</v>
      </c>
      <c r="Z15" s="14">
        <f t="shared" si="4"/>
        <v>52.100487999603494</v>
      </c>
      <c r="AA15" s="57">
        <f t="shared" si="4"/>
        <v>52.136427310158226</v>
      </c>
      <c r="AB15" s="14">
        <f t="shared" si="4"/>
        <v>53.512641999142119</v>
      </c>
      <c r="AC15" s="14">
        <f t="shared" si="4"/>
        <v>53.205978631536468</v>
      </c>
      <c r="AD15" s="14">
        <f t="shared" si="4"/>
        <v>54.060730030497936</v>
      </c>
      <c r="AE15" s="14">
        <f t="shared" si="4"/>
        <v>55.117600067736461</v>
      </c>
      <c r="AF15" s="14">
        <f t="shared" si="4"/>
        <v>55.518503466675838</v>
      </c>
      <c r="AG15" s="14"/>
      <c r="AH15" s="14"/>
      <c r="AI15" s="14"/>
      <c r="AK15" s="216" t="s">
        <v>234</v>
      </c>
      <c r="AL15" s="217" t="s">
        <v>235</v>
      </c>
      <c r="AM15" s="217" t="s">
        <v>236</v>
      </c>
      <c r="AN15" s="217" t="s">
        <v>237</v>
      </c>
      <c r="AO15" s="217" t="s">
        <v>238</v>
      </c>
      <c r="AP15" s="217" t="s">
        <v>239</v>
      </c>
      <c r="AQ15" s="217" t="s">
        <v>240</v>
      </c>
      <c r="AR15" s="217" t="s">
        <v>241</v>
      </c>
      <c r="AS15" s="218" t="s">
        <v>242</v>
      </c>
      <c r="AT15" s="218" t="s">
        <v>243</v>
      </c>
      <c r="AU15" s="218" t="s">
        <v>244</v>
      </c>
      <c r="AV15" s="218" t="s">
        <v>245</v>
      </c>
      <c r="AW15" s="218" t="s">
        <v>246</v>
      </c>
      <c r="AX15" s="218" t="s">
        <v>247</v>
      </c>
      <c r="AY15" s="218" t="s">
        <v>248</v>
      </c>
      <c r="AZ15" s="218" t="s">
        <v>249</v>
      </c>
      <c r="BA15" s="218" t="s">
        <v>250</v>
      </c>
      <c r="BB15" s="218" t="s">
        <v>251</v>
      </c>
      <c r="DO15" s="210" t="s">
        <v>252</v>
      </c>
      <c r="DP15" s="211">
        <v>8.5777359236508701</v>
      </c>
      <c r="DQ15" s="27"/>
      <c r="DU15" s="27"/>
    </row>
    <row r="16" spans="4:125" ht="15.75" thickBot="1" x14ac:dyDescent="0.3">
      <c r="D16" t="s">
        <v>253</v>
      </c>
      <c r="E16" t="s">
        <v>164</v>
      </c>
      <c r="F16" s="203">
        <v>350202</v>
      </c>
      <c r="J16" s="12" t="s">
        <v>26</v>
      </c>
      <c r="K16" s="41">
        <v>825056</v>
      </c>
      <c r="L16" s="42">
        <v>848204</v>
      </c>
      <c r="M16" s="42">
        <v>924696</v>
      </c>
      <c r="N16" s="42">
        <v>985514</v>
      </c>
      <c r="O16" s="42">
        <v>997791</v>
      </c>
      <c r="P16" s="42">
        <v>1005984</v>
      </c>
      <c r="Q16" s="42">
        <v>1073238</v>
      </c>
      <c r="R16" s="42">
        <v>1070624</v>
      </c>
      <c r="S16" s="42">
        <v>1030760</v>
      </c>
      <c r="T16" s="42">
        <v>1072544</v>
      </c>
      <c r="U16" s="43">
        <v>1109892</v>
      </c>
      <c r="V16" s="42">
        <v>1163376</v>
      </c>
      <c r="W16" s="42">
        <v>1129593</v>
      </c>
      <c r="X16" s="50">
        <v>1205011</v>
      </c>
      <c r="Y16" s="52">
        <v>1233423</v>
      </c>
      <c r="Z16" s="50">
        <v>1292983</v>
      </c>
      <c r="AA16" s="55">
        <v>1273745</v>
      </c>
      <c r="AB16" s="99">
        <v>1292276.71</v>
      </c>
      <c r="AC16" s="99">
        <v>1306049</v>
      </c>
      <c r="AD16" s="99">
        <v>1405757</v>
      </c>
      <c r="AE16" s="99">
        <v>1431391</v>
      </c>
      <c r="AF16" s="99">
        <v>1435198</v>
      </c>
      <c r="AG16" s="99"/>
      <c r="AH16" s="99"/>
      <c r="AI16" s="99"/>
      <c r="AK16" s="24" t="s">
        <v>254</v>
      </c>
      <c r="AL16" s="219">
        <f t="shared" ref="AL16:AO18" si="5">O10/K10*100-100</f>
        <v>168.89508404869031</v>
      </c>
      <c r="AM16" s="220">
        <f t="shared" si="5"/>
        <v>157.05919879606756</v>
      </c>
      <c r="AN16" s="220">
        <f t="shared" si="5"/>
        <v>107.00218130614348</v>
      </c>
      <c r="AO16" s="220">
        <f t="shared" si="5"/>
        <v>20.738846645582385</v>
      </c>
      <c r="AP16" s="220">
        <f>T10/O10*100-100</f>
        <v>8.6910700965598551</v>
      </c>
      <c r="AQ16" s="220">
        <f>U10/P10*100-100</f>
        <v>5.1247868251584521</v>
      </c>
      <c r="AR16" s="220">
        <f>V10/Q10*100-100</f>
        <v>2.1063052502755966</v>
      </c>
      <c r="AS16" s="220">
        <f>W10/R10*100-100</f>
        <v>1.6034435844225641</v>
      </c>
      <c r="AT16" s="220">
        <f t="shared" ref="AT16:BB18" si="6">X10/T10*100-100</f>
        <v>5.2591813734440507</v>
      </c>
      <c r="AU16" s="220">
        <f t="shared" si="6"/>
        <v>5.5529156817583356</v>
      </c>
      <c r="AV16" s="220">
        <f t="shared" si="6"/>
        <v>6.3482763440828194</v>
      </c>
      <c r="AW16" s="221">
        <f t="shared" si="6"/>
        <v>12.562838391595307</v>
      </c>
      <c r="AX16" s="221">
        <f t="shared" si="6"/>
        <v>1.9301740638832285</v>
      </c>
      <c r="AY16" s="221">
        <f t="shared" si="6"/>
        <v>4.071111111111108</v>
      </c>
      <c r="AZ16" s="221">
        <f t="shared" si="6"/>
        <v>4.3864555425669352</v>
      </c>
      <c r="BA16" s="221">
        <f t="shared" si="6"/>
        <v>4.8443918281702878</v>
      </c>
      <c r="BB16" s="221">
        <f t="shared" si="6"/>
        <v>6.300881716238365</v>
      </c>
      <c r="DO16" s="210" t="s">
        <v>255</v>
      </c>
      <c r="DP16" s="211">
        <v>9.3408097791321705</v>
      </c>
      <c r="DU16" s="27"/>
    </row>
    <row r="17" spans="4:131" ht="15.75" thickBot="1" x14ac:dyDescent="0.3">
      <c r="E17" t="s">
        <v>165</v>
      </c>
      <c r="F17" s="206">
        <v>515460</v>
      </c>
      <c r="J17" s="21" t="s">
        <v>39</v>
      </c>
      <c r="K17" s="40">
        <v>0</v>
      </c>
      <c r="L17" s="40">
        <f>L16/K16*100-100</f>
        <v>2.8056277392080062</v>
      </c>
      <c r="M17" s="40">
        <f t="shared" ref="M17:AF17" si="7">M16/L16*100-100</f>
        <v>9.0181135670192418</v>
      </c>
      <c r="N17" s="40">
        <f t="shared" si="7"/>
        <v>6.5770804675266277</v>
      </c>
      <c r="O17" s="40">
        <f t="shared" si="7"/>
        <v>1.245745874741516</v>
      </c>
      <c r="P17" s="40">
        <f t="shared" si="7"/>
        <v>0.82111384047361469</v>
      </c>
      <c r="Q17" s="40">
        <f t="shared" si="7"/>
        <v>6.6853945987212597</v>
      </c>
      <c r="R17" s="40">
        <f t="shared" si="7"/>
        <v>-0.24356200581790688</v>
      </c>
      <c r="S17" s="40">
        <f t="shared" si="7"/>
        <v>-3.7234360522461714</v>
      </c>
      <c r="T17" s="40">
        <f t="shared" si="7"/>
        <v>4.0537079436532224</v>
      </c>
      <c r="U17" s="40">
        <f t="shared" si="7"/>
        <v>3.4821881433302622</v>
      </c>
      <c r="V17" s="40">
        <f t="shared" si="7"/>
        <v>4.8188472391908306</v>
      </c>
      <c r="W17" s="40">
        <f t="shared" si="7"/>
        <v>-2.9038763048231999</v>
      </c>
      <c r="X17" s="51">
        <f>X16/V16*100-100</f>
        <v>3.5788085709177437</v>
      </c>
      <c r="Y17" s="53">
        <f t="shared" si="7"/>
        <v>2.3578207999761105</v>
      </c>
      <c r="Z17" s="51">
        <f t="shared" si="7"/>
        <v>4.8288381196069707</v>
      </c>
      <c r="AA17" s="48">
        <f t="shared" si="7"/>
        <v>-1.4878772574736132</v>
      </c>
      <c r="AB17" s="46">
        <f t="shared" si="7"/>
        <v>1.4548995285555577</v>
      </c>
      <c r="AC17" s="46">
        <f t="shared" si="7"/>
        <v>1.0657384671120411</v>
      </c>
      <c r="AD17" s="46">
        <f t="shared" si="7"/>
        <v>7.6343230613858992</v>
      </c>
      <c r="AE17" s="46">
        <f t="shared" si="7"/>
        <v>1.8235015013263336</v>
      </c>
      <c r="AF17" s="46">
        <f t="shared" si="7"/>
        <v>0.2659650647516969</v>
      </c>
      <c r="AG17" s="46"/>
      <c r="AH17" s="46"/>
      <c r="AI17" s="46"/>
      <c r="AK17" s="25" t="s">
        <v>256</v>
      </c>
      <c r="AL17" s="222">
        <f t="shared" si="5"/>
        <v>-5.9428836051228444</v>
      </c>
      <c r="AM17" s="223">
        <f t="shared" si="5"/>
        <v>-8.2960388497428994</v>
      </c>
      <c r="AN17" s="223">
        <f t="shared" si="5"/>
        <v>-9.7993966170519968</v>
      </c>
      <c r="AO17" s="223">
        <f t="shared" si="5"/>
        <v>-1.6048909736553156</v>
      </c>
      <c r="AP17" s="224">
        <f>T11/O11*100-100</f>
        <v>-3.6187681034317336</v>
      </c>
      <c r="AQ17" s="224">
        <f t="shared" ref="AQ17" si="8">U11/P11*100-100</f>
        <v>1.986151130493468</v>
      </c>
      <c r="AR17" s="224">
        <f>V11/Q11*100-100</f>
        <v>4.9913292140495287</v>
      </c>
      <c r="AS17" s="224">
        <f t="shared" ref="AS17:AS18" si="9">W11/R11*100-100</f>
        <v>2.9120368552619595</v>
      </c>
      <c r="AT17" s="224">
        <f>X11/T11*100-100</f>
        <v>16.165948511777415</v>
      </c>
      <c r="AU17" s="224">
        <f t="shared" si="6"/>
        <v>18.94910994098089</v>
      </c>
      <c r="AV17" s="224">
        <f t="shared" si="6"/>
        <v>17.443556350042726</v>
      </c>
      <c r="AW17" s="225">
        <f t="shared" si="6"/>
        <v>20.815952792756121</v>
      </c>
      <c r="AX17" s="225">
        <f t="shared" si="6"/>
        <v>12.026299107372324</v>
      </c>
      <c r="AY17" s="225">
        <f t="shared" si="6"/>
        <v>10.382947764287991</v>
      </c>
      <c r="AZ17" s="225">
        <f t="shared" si="6"/>
        <v>12.935704570639615</v>
      </c>
      <c r="BA17" s="225">
        <f t="shared" si="6"/>
        <v>18.201578947368418</v>
      </c>
      <c r="BB17" s="225">
        <f t="shared" si="6"/>
        <v>15.258695272823601</v>
      </c>
      <c r="DO17" s="210" t="s">
        <v>257</v>
      </c>
      <c r="DP17" s="211">
        <v>10.381978933513738</v>
      </c>
    </row>
    <row r="18" spans="4:131" ht="15.75" thickBot="1" x14ac:dyDescent="0.3">
      <c r="E18" t="s">
        <v>177</v>
      </c>
      <c r="F18" s="72">
        <v>865662</v>
      </c>
      <c r="J18" s="8" t="s">
        <v>30</v>
      </c>
      <c r="K18" s="9">
        <f t="shared" ref="K18:AF18" si="10">K12/K16*100</f>
        <v>53.479521390063226</v>
      </c>
      <c r="L18" s="10">
        <f t="shared" si="10"/>
        <v>54.035349986559837</v>
      </c>
      <c r="M18" s="10">
        <f t="shared" si="10"/>
        <v>55.02067706575999</v>
      </c>
      <c r="N18" s="10">
        <f t="shared" si="10"/>
        <v>57.152917157950064</v>
      </c>
      <c r="O18" s="10">
        <f t="shared" si="10"/>
        <v>60.637949229848729</v>
      </c>
      <c r="P18" s="10">
        <f t="shared" si="10"/>
        <v>61.877723701371004</v>
      </c>
      <c r="Q18" s="10">
        <f t="shared" si="10"/>
        <v>60.072789073812146</v>
      </c>
      <c r="R18" s="10">
        <f t="shared" si="10"/>
        <v>57.037671488776645</v>
      </c>
      <c r="S18" s="10">
        <f t="shared" si="10"/>
        <v>56.304862431603866</v>
      </c>
      <c r="T18" s="10">
        <f t="shared" si="10"/>
        <v>57.724531580988746</v>
      </c>
      <c r="U18" s="192">
        <f t="shared" si="10"/>
        <v>58.087453554039492</v>
      </c>
      <c r="V18" s="10">
        <f t="shared" si="10"/>
        <v>57.367867310310686</v>
      </c>
      <c r="W18" s="10">
        <f t="shared" si="10"/>
        <v>55.280972881382937</v>
      </c>
      <c r="X18" s="10">
        <f t="shared" si="10"/>
        <v>56.809605887415138</v>
      </c>
      <c r="Y18" s="193">
        <f t="shared" si="10"/>
        <v>58.585983883874391</v>
      </c>
      <c r="Z18" s="10">
        <f t="shared" si="10"/>
        <v>57.73602591836088</v>
      </c>
      <c r="AA18" s="193">
        <f t="shared" si="10"/>
        <v>57.22157888745393</v>
      </c>
      <c r="AB18" s="10">
        <f t="shared" si="10"/>
        <v>56.731817909184478</v>
      </c>
      <c r="AC18" s="10">
        <f t="shared" si="10"/>
        <v>59.387434927786018</v>
      </c>
      <c r="AD18" s="10">
        <f t="shared" si="10"/>
        <v>57.799036391069016</v>
      </c>
      <c r="AE18" s="10">
        <f t="shared" si="10"/>
        <v>56.932242832321847</v>
      </c>
      <c r="AF18" s="10">
        <f t="shared" si="10"/>
        <v>56.749591345584371</v>
      </c>
      <c r="AG18" s="10"/>
      <c r="AH18" s="10"/>
      <c r="AI18" s="10"/>
      <c r="AK18" s="207" t="s">
        <v>36</v>
      </c>
      <c r="AL18" s="226">
        <f t="shared" si="5"/>
        <v>37.123897415442087</v>
      </c>
      <c r="AM18" s="227">
        <f t="shared" si="5"/>
        <v>35.814805925861293</v>
      </c>
      <c r="AN18" s="227">
        <f t="shared" si="5"/>
        <v>26.721098169324691</v>
      </c>
      <c r="AO18" s="227">
        <f t="shared" si="5"/>
        <v>8.4170439414114497</v>
      </c>
      <c r="AP18" s="227">
        <f>T12/O12*100-100</f>
        <v>2.3272841465027199</v>
      </c>
      <c r="AQ18" s="227">
        <f>U12/P12*100-100</f>
        <v>3.5708777792057447</v>
      </c>
      <c r="AR18" s="227">
        <f>V12/Q12*100-100</f>
        <v>3.5177843542353031</v>
      </c>
      <c r="AS18" s="227">
        <f t="shared" si="9"/>
        <v>2.2583798814067961</v>
      </c>
      <c r="AT18" s="227">
        <f>X12/T12*100-100</f>
        <v>10.56998551171742</v>
      </c>
      <c r="AU18" s="227">
        <f t="shared" si="6"/>
        <v>12.083765053326474</v>
      </c>
      <c r="AV18" s="227">
        <f t="shared" si="6"/>
        <v>11.853839653343414</v>
      </c>
      <c r="AW18" s="228">
        <f t="shared" si="6"/>
        <v>16.719833453439037</v>
      </c>
      <c r="AX18" s="228">
        <f t="shared" si="6"/>
        <v>7.0950578618152775</v>
      </c>
      <c r="AY18" s="228">
        <f t="shared" si="6"/>
        <v>7.3367072001195623</v>
      </c>
      <c r="AZ18" s="228">
        <f t="shared" si="6"/>
        <v>8.8406560064941573</v>
      </c>
      <c r="BA18" s="228">
        <f t="shared" si="6"/>
        <v>11.808351981252827</v>
      </c>
      <c r="BB18" s="228">
        <f t="shared" si="6"/>
        <v>11.094444415724453</v>
      </c>
    </row>
    <row r="19" spans="4:131" ht="15.75" thickBot="1" x14ac:dyDescent="0.3">
      <c r="J19" s="22" t="s">
        <v>40</v>
      </c>
      <c r="K19" s="10">
        <v>0</v>
      </c>
      <c r="L19" s="10">
        <v>0</v>
      </c>
      <c r="M19" s="10">
        <v>0</v>
      </c>
      <c r="N19" s="10">
        <v>0</v>
      </c>
      <c r="O19" s="10">
        <f t="shared" ref="O19:R19" si="11">O12/K12*100-100</f>
        <v>37.123897415442087</v>
      </c>
      <c r="P19" s="10">
        <f t="shared" si="11"/>
        <v>35.814805925861293</v>
      </c>
      <c r="Q19" s="10">
        <f t="shared" si="11"/>
        <v>26.721098169324691</v>
      </c>
      <c r="R19" s="10">
        <f t="shared" si="11"/>
        <v>8.4170439414114497</v>
      </c>
      <c r="S19" s="10">
        <f>S12/O12*100-100</f>
        <v>-4.0777469258230923</v>
      </c>
      <c r="T19" s="10">
        <f>T12/O12*100-100</f>
        <v>2.3272841465027199</v>
      </c>
      <c r="U19" s="10">
        <f>U12/P12*100-100</f>
        <v>3.5708777792057447</v>
      </c>
      <c r="V19" s="10">
        <f>V12/Q12*100-100</f>
        <v>3.5177843542353031</v>
      </c>
      <c r="W19" s="10">
        <f>W12/R12*100-100</f>
        <v>2.2583798814067961</v>
      </c>
      <c r="X19" s="10">
        <f>X12/T12*100-100</f>
        <v>10.56998551171742</v>
      </c>
      <c r="Y19" s="193">
        <f>Y12/U12*100-100</f>
        <v>12.083765053326474</v>
      </c>
      <c r="Z19" s="193">
        <f t="shared" ref="Z19:AF19" si="12">Z12/V12*100-100</f>
        <v>11.853839653343414</v>
      </c>
      <c r="AA19" s="193">
        <f t="shared" si="12"/>
        <v>16.719833453439037</v>
      </c>
      <c r="AB19" s="193">
        <f t="shared" si="12"/>
        <v>7.0950578618152775</v>
      </c>
      <c r="AC19" s="193">
        <f t="shared" si="12"/>
        <v>7.3367072001195623</v>
      </c>
      <c r="AD19" s="193">
        <f>AD12/Z12*100-100</f>
        <v>8.8406560064941573</v>
      </c>
      <c r="AE19" s="193">
        <f t="shared" si="12"/>
        <v>11.808351981252827</v>
      </c>
      <c r="AF19" s="193">
        <f t="shared" si="12"/>
        <v>11.094444415724453</v>
      </c>
      <c r="AG19" s="10"/>
      <c r="AH19" s="10"/>
      <c r="AI19" s="10"/>
      <c r="AK19" s="3" t="s">
        <v>258</v>
      </c>
      <c r="AL19" s="217" t="s">
        <v>235</v>
      </c>
      <c r="AM19" s="217" t="s">
        <v>236</v>
      </c>
      <c r="AN19" s="217" t="s">
        <v>237</v>
      </c>
      <c r="AO19" s="217" t="s">
        <v>238</v>
      </c>
      <c r="AP19" s="217" t="s">
        <v>239</v>
      </c>
      <c r="AQ19" s="217" t="s">
        <v>240</v>
      </c>
      <c r="AR19" s="217" t="s">
        <v>241</v>
      </c>
      <c r="AS19" s="3" t="s">
        <v>242</v>
      </c>
      <c r="AT19" s="3" t="s">
        <v>243</v>
      </c>
      <c r="AU19" s="3" t="s">
        <v>244</v>
      </c>
      <c r="AV19" s="3" t="s">
        <v>245</v>
      </c>
      <c r="AW19" s="3" t="s">
        <v>246</v>
      </c>
      <c r="AX19" s="3" t="s">
        <v>247</v>
      </c>
      <c r="AY19" s="3" t="s">
        <v>248</v>
      </c>
      <c r="AZ19" s="3" t="s">
        <v>249</v>
      </c>
      <c r="BA19" s="218" t="s">
        <v>250</v>
      </c>
      <c r="BB19" s="218" t="s">
        <v>251</v>
      </c>
    </row>
    <row r="20" spans="4:131" ht="15.75" thickBot="1" x14ac:dyDescent="0.3">
      <c r="J20" s="21" t="s">
        <v>41</v>
      </c>
      <c r="K20" s="40">
        <v>0</v>
      </c>
      <c r="L20" s="40">
        <v>0</v>
      </c>
      <c r="M20" s="40">
        <v>0</v>
      </c>
      <c r="N20" s="40">
        <v>0</v>
      </c>
      <c r="O20" s="40">
        <f t="shared" ref="O20:V20" si="13">O16/K16*100-100</f>
        <v>20.936154636776166</v>
      </c>
      <c r="P20" s="40">
        <f t="shared" si="13"/>
        <v>18.601657148516153</v>
      </c>
      <c r="Q20" s="40">
        <f t="shared" si="13"/>
        <v>16.063873965065284</v>
      </c>
      <c r="R20" s="40">
        <f>R16/N16*100-100</f>
        <v>8.6361025820028914</v>
      </c>
      <c r="S20" s="40">
        <f t="shared" si="13"/>
        <v>3.3041989755369485</v>
      </c>
      <c r="T20" s="40">
        <f t="shared" si="13"/>
        <v>6.616407418010624</v>
      </c>
      <c r="U20" s="40">
        <f t="shared" si="13"/>
        <v>3.4152722881597697</v>
      </c>
      <c r="V20" s="40">
        <f t="shared" si="13"/>
        <v>8.6633589383387601</v>
      </c>
      <c r="W20" s="40">
        <f>W16/R16*100-100</f>
        <v>5.5079094061033516</v>
      </c>
      <c r="X20" s="229">
        <f>X16/T16*100-100</f>
        <v>12.350728734671961</v>
      </c>
      <c r="Y20" s="229">
        <f t="shared" ref="Y20:AF20" si="14">Y16/U16*100-100</f>
        <v>11.130001838016668</v>
      </c>
      <c r="Z20" s="229">
        <f t="shared" si="14"/>
        <v>11.140594270468</v>
      </c>
      <c r="AA20" s="230">
        <f t="shared" si="14"/>
        <v>12.761410525738029</v>
      </c>
      <c r="AB20" s="229">
        <f t="shared" si="14"/>
        <v>7.2419015262101425</v>
      </c>
      <c r="AC20" s="229">
        <f t="shared" si="14"/>
        <v>5.8881665089754307</v>
      </c>
      <c r="AD20" s="229">
        <f t="shared" si="14"/>
        <v>8.7220017587238203</v>
      </c>
      <c r="AE20" s="229">
        <f t="shared" si="14"/>
        <v>12.376574589105346</v>
      </c>
      <c r="AF20" s="229">
        <f t="shared" si="14"/>
        <v>11.059650684256312</v>
      </c>
      <c r="AG20" s="229"/>
      <c r="AH20" s="229"/>
      <c r="AI20" s="229"/>
      <c r="AK20" s="24" t="s">
        <v>254</v>
      </c>
      <c r="AL20" s="231">
        <f t="shared" ref="AL20:AO22" si="15">O23/K23*100-100</f>
        <v>42.046678635547579</v>
      </c>
      <c r="AM20" s="232">
        <f t="shared" si="15"/>
        <v>63.398253861652108</v>
      </c>
      <c r="AN20" s="232">
        <f t="shared" si="15"/>
        <v>107.01530612244898</v>
      </c>
      <c r="AO20" s="232">
        <f t="shared" si="15"/>
        <v>14.289670451398507</v>
      </c>
      <c r="AP20" s="232">
        <f>T23/O23*100-100</f>
        <v>115.41961577350861</v>
      </c>
      <c r="AQ20" s="232">
        <f>U23/P23*100-100</f>
        <v>-17.03658035347307</v>
      </c>
      <c r="AR20" s="232">
        <f>V23/Q23*100-100</f>
        <v>-37.16882316697474</v>
      </c>
      <c r="AS20" s="232">
        <f>W23/R23*100-100</f>
        <v>80.009692270414348</v>
      </c>
      <c r="AT20" s="232">
        <f t="shared" ref="AT20:BB22" si="16">X23/T23*100-100</f>
        <v>-41.457404365172493</v>
      </c>
      <c r="AU20" s="232">
        <f t="shared" si="16"/>
        <v>17.067129056229874</v>
      </c>
      <c r="AV20" s="232">
        <f t="shared" si="16"/>
        <v>23.461632753125755</v>
      </c>
      <c r="AW20" s="205">
        <f t="shared" si="16"/>
        <v>-24.188989096782876</v>
      </c>
      <c r="AX20" s="205">
        <f t="shared" si="16"/>
        <v>11.922228903587893</v>
      </c>
      <c r="AY20" s="205">
        <f t="shared" si="16"/>
        <v>14.367329665679222</v>
      </c>
      <c r="AZ20" s="205">
        <f t="shared" si="16"/>
        <v>19.757744241461481</v>
      </c>
      <c r="BA20" s="205">
        <f t="shared" si="16"/>
        <v>9.1441761363636402</v>
      </c>
      <c r="BB20" s="205">
        <f t="shared" si="16"/>
        <v>8.5998782191339274</v>
      </c>
      <c r="DO20" s="33" t="s">
        <v>226</v>
      </c>
      <c r="DP20" s="3" t="s">
        <v>201</v>
      </c>
      <c r="DQ20" s="3" t="s">
        <v>259</v>
      </c>
      <c r="DV20" s="33" t="s">
        <v>226</v>
      </c>
      <c r="DW20" s="3" t="s">
        <v>201</v>
      </c>
    </row>
    <row r="21" spans="4:131" ht="15.75" thickBot="1" x14ac:dyDescent="0.3">
      <c r="D21" t="s">
        <v>260</v>
      </c>
      <c r="E21" t="s">
        <v>164</v>
      </c>
      <c r="F21" s="203">
        <v>684562</v>
      </c>
      <c r="AE21" s="27">
        <f>AE11/AA11*100-100</f>
        <v>18.201578947368418</v>
      </c>
      <c r="AK21" s="25" t="s">
        <v>256</v>
      </c>
      <c r="AL21" s="13">
        <f t="shared" si="15"/>
        <v>2.036028091833856</v>
      </c>
      <c r="AM21" s="14">
        <f t="shared" si="15"/>
        <v>-2.1341652537116005</v>
      </c>
      <c r="AN21" s="14">
        <f t="shared" si="15"/>
        <v>2.23723672798981</v>
      </c>
      <c r="AO21" s="14">
        <f t="shared" si="15"/>
        <v>8.8822963169976106</v>
      </c>
      <c r="AP21" s="14">
        <f t="shared" ref="AP21:AS22" si="17">T24/O24*100-100</f>
        <v>14.431035458366125</v>
      </c>
      <c r="AQ21" s="14">
        <f t="shared" si="17"/>
        <v>21.790676607533825</v>
      </c>
      <c r="AR21" s="14">
        <f t="shared" si="17"/>
        <v>16.556522068806999</v>
      </c>
      <c r="AS21" s="14">
        <f t="shared" si="17"/>
        <v>9.1863574639291556</v>
      </c>
      <c r="AT21" s="14">
        <f t="shared" si="16"/>
        <v>15.859483345733111</v>
      </c>
      <c r="AU21" s="14">
        <f t="shared" si="16"/>
        <v>9.7446150576714103</v>
      </c>
      <c r="AV21" s="14">
        <f t="shared" si="16"/>
        <v>10.070686104498321</v>
      </c>
      <c r="AW21" s="211">
        <f t="shared" si="16"/>
        <v>8.3465604744893653</v>
      </c>
      <c r="AX21" s="211">
        <f t="shared" si="16"/>
        <v>7.3916191363054367</v>
      </c>
      <c r="AY21" s="211">
        <f t="shared" si="16"/>
        <v>3.7404857691608555</v>
      </c>
      <c r="AZ21" s="211">
        <f t="shared" si="16"/>
        <v>8.4559407494966905</v>
      </c>
      <c r="BA21" s="211">
        <f t="shared" si="16"/>
        <v>13.178156571275991</v>
      </c>
      <c r="BB21" s="211">
        <f t="shared" si="16"/>
        <v>11.038381978031552</v>
      </c>
      <c r="CX21" s="1"/>
      <c r="DO21" s="204" t="s">
        <v>110</v>
      </c>
      <c r="DP21" s="205">
        <v>48.017788276779108</v>
      </c>
      <c r="DQ21" s="233">
        <f>'[15]2021. I. Állományi adatok'!O57+'[15]2021. I. Állományi adatok'!O10</f>
        <v>391090</v>
      </c>
      <c r="DR21" s="1"/>
      <c r="DS21" s="1"/>
      <c r="DT21" s="1"/>
      <c r="DV21" s="204" t="s">
        <v>110</v>
      </c>
      <c r="DW21" s="27">
        <f>DX21/DW28*100</f>
        <v>48.017788276779108</v>
      </c>
      <c r="DX21" s="234">
        <v>391090</v>
      </c>
    </row>
    <row r="22" spans="4:131" ht="15.75" thickBot="1" x14ac:dyDescent="0.3">
      <c r="E22" t="s">
        <v>165</v>
      </c>
      <c r="F22" s="206">
        <v>520449</v>
      </c>
      <c r="J22" s="3" t="s">
        <v>42</v>
      </c>
      <c r="K22" s="95" t="s">
        <v>0</v>
      </c>
      <c r="L22" s="94" t="s">
        <v>1</v>
      </c>
      <c r="M22" s="94" t="s">
        <v>2</v>
      </c>
      <c r="N22" s="94" t="s">
        <v>3</v>
      </c>
      <c r="O22" s="94" t="s">
        <v>4</v>
      </c>
      <c r="P22" s="94" t="s">
        <v>5</v>
      </c>
      <c r="Q22" s="94" t="s">
        <v>6</v>
      </c>
      <c r="R22" s="94" t="s">
        <v>7</v>
      </c>
      <c r="S22" s="94" t="s">
        <v>27</v>
      </c>
      <c r="T22" s="94" t="s">
        <v>9</v>
      </c>
      <c r="U22" s="94" t="s">
        <v>10</v>
      </c>
      <c r="V22" s="94" t="s">
        <v>11</v>
      </c>
      <c r="W22" s="95" t="s">
        <v>12</v>
      </c>
      <c r="X22" s="94" t="s">
        <v>13</v>
      </c>
      <c r="Y22" s="94" t="s">
        <v>14</v>
      </c>
      <c r="Z22" s="73" t="s">
        <v>15</v>
      </c>
      <c r="AA22" s="94" t="s">
        <v>16</v>
      </c>
      <c r="AB22" s="94" t="s">
        <v>17</v>
      </c>
      <c r="AC22" s="94" t="s">
        <v>18</v>
      </c>
      <c r="AD22" s="73" t="s">
        <v>19</v>
      </c>
      <c r="AE22" s="94" t="s">
        <v>20</v>
      </c>
      <c r="AF22" s="94" t="s">
        <v>202</v>
      </c>
      <c r="AG22" s="94" t="s">
        <v>21</v>
      </c>
      <c r="AH22" s="94" t="s">
        <v>22</v>
      </c>
      <c r="AI22" s="94" t="s">
        <v>203</v>
      </c>
      <c r="AK22" s="20" t="s">
        <v>44</v>
      </c>
      <c r="AL22" s="235">
        <f t="shared" si="15"/>
        <v>2.3263448326172949</v>
      </c>
      <c r="AM22" s="236">
        <f t="shared" si="15"/>
        <v>-1.6336047030579124</v>
      </c>
      <c r="AN22" s="236">
        <f t="shared" si="15"/>
        <v>3.0272503017392722</v>
      </c>
      <c r="AO22" s="236">
        <f t="shared" si="15"/>
        <v>8.928537597332479</v>
      </c>
      <c r="AP22" s="236">
        <f t="shared" si="17"/>
        <v>15.448249522597067</v>
      </c>
      <c r="AQ22" s="236">
        <f t="shared" si="17"/>
        <v>21.298027405118575</v>
      </c>
      <c r="AR22" s="236">
        <f t="shared" si="17"/>
        <v>15.742579571681617</v>
      </c>
      <c r="AS22" s="236">
        <f t="shared" si="17"/>
        <v>9.8218129166068877</v>
      </c>
      <c r="AT22" s="236">
        <f t="shared" si="16"/>
        <v>14.78222322202447</v>
      </c>
      <c r="AU22" s="236">
        <f>Y25/U25*100-100</f>
        <v>9.8081619316227489</v>
      </c>
      <c r="AV22" s="236">
        <f t="shared" si="16"/>
        <v>10.180816659004947</v>
      </c>
      <c r="AW22" s="237">
        <f t="shared" si="16"/>
        <v>7.8680690418356818</v>
      </c>
      <c r="AX22" s="237">
        <f t="shared" si="16"/>
        <v>7.4350493516175362</v>
      </c>
      <c r="AY22" s="237">
        <f t="shared" si="16"/>
        <v>3.8388050351402683</v>
      </c>
      <c r="AZ22" s="237">
        <f t="shared" si="16"/>
        <v>8.5600934001383422</v>
      </c>
      <c r="BA22" s="237">
        <f t="shared" si="16"/>
        <v>13.13646107089896</v>
      </c>
      <c r="BB22" s="237">
        <f t="shared" si="16"/>
        <v>11.014030287404708</v>
      </c>
      <c r="DO22" s="210" t="s">
        <v>261</v>
      </c>
      <c r="DP22" s="211">
        <v>30.370216668774379</v>
      </c>
      <c r="DQ22" s="238">
        <f>'[15]2021. I. Állományi adatok'!O11+'[15]2021. I. Állományi adatok'!O58</f>
        <v>247356</v>
      </c>
      <c r="DR22" s="1">
        <f>DQ22-DR23</f>
        <v>16857</v>
      </c>
      <c r="DS22" s="1"/>
      <c r="DT22" s="1"/>
      <c r="DV22" s="210" t="s">
        <v>229</v>
      </c>
      <c r="DW22" s="27">
        <f>DX22/DW28*100</f>
        <v>9.681031445027374</v>
      </c>
      <c r="DX22" s="239">
        <v>78849</v>
      </c>
    </row>
    <row r="23" spans="4:131" ht="15.75" thickBot="1" x14ac:dyDescent="0.3">
      <c r="E23" t="s">
        <v>177</v>
      </c>
      <c r="F23" s="72">
        <v>1205011</v>
      </c>
      <c r="J23" s="23" t="s">
        <v>34</v>
      </c>
      <c r="K23" s="98">
        <v>2785</v>
      </c>
      <c r="L23" s="5">
        <v>2978</v>
      </c>
      <c r="M23" s="5">
        <v>3136</v>
      </c>
      <c r="N23" s="5">
        <v>3611</v>
      </c>
      <c r="O23" s="5">
        <v>3956</v>
      </c>
      <c r="P23" s="5">
        <v>4866</v>
      </c>
      <c r="Q23" s="5">
        <v>6492</v>
      </c>
      <c r="R23" s="5">
        <v>4127</v>
      </c>
      <c r="S23" s="5">
        <v>8278</v>
      </c>
      <c r="T23" s="5">
        <v>8522</v>
      </c>
      <c r="U23" s="28">
        <v>4037</v>
      </c>
      <c r="V23" s="28">
        <v>4079</v>
      </c>
      <c r="W23" s="28">
        <v>7429</v>
      </c>
      <c r="X23" s="5">
        <f>'[15]2019. I. Állomány adatok_Korr'!O34</f>
        <v>4989</v>
      </c>
      <c r="Y23" s="5">
        <f>'[15]2019. II. Állomány adatok'!O32</f>
        <v>4726</v>
      </c>
      <c r="Z23" s="58">
        <v>5036</v>
      </c>
      <c r="AA23" s="5">
        <f>'[15]2019. IV. Állomány adatok'!O32</f>
        <v>5632</v>
      </c>
      <c r="AB23" s="5">
        <v>5583.8</v>
      </c>
      <c r="AC23" s="98">
        <f>'[15]2020. II. Állományi adatok'!O34</f>
        <v>5405</v>
      </c>
      <c r="AD23" s="98">
        <v>6031</v>
      </c>
      <c r="AE23" s="98">
        <v>6147</v>
      </c>
      <c r="AF23" s="98">
        <v>6064</v>
      </c>
      <c r="AG23" s="98"/>
      <c r="AH23" s="98"/>
      <c r="AI23" s="98"/>
      <c r="AJ23" s="86"/>
      <c r="DO23" s="210" t="s">
        <v>252</v>
      </c>
      <c r="DP23" s="211">
        <v>8.5777359236508701</v>
      </c>
      <c r="DQ23" s="238">
        <f>'[15]2021. I. Állományi adatok'!O12+'[15]2021. I. Állományi adatok'!O59</f>
        <v>69863</v>
      </c>
      <c r="DR23" s="1">
        <f>DQ23+DQ24+DQ25</f>
        <v>230499</v>
      </c>
      <c r="DS23" s="211">
        <f>DR23/DP29*100</f>
        <v>28.300524636296775</v>
      </c>
      <c r="DT23" s="1"/>
      <c r="DV23" s="240" t="s">
        <v>262</v>
      </c>
      <c r="DW23" s="27">
        <f>DX23/DW28*100</f>
        <v>11.930840830037729</v>
      </c>
      <c r="DX23" s="239">
        <v>97173</v>
      </c>
    </row>
    <row r="24" spans="4:131" ht="15.75" thickBot="1" x14ac:dyDescent="0.3">
      <c r="J24" s="19" t="s">
        <v>43</v>
      </c>
      <c r="K24" s="98">
        <v>381036</v>
      </c>
      <c r="L24" s="5">
        <v>386896</v>
      </c>
      <c r="M24" s="5">
        <v>412786</v>
      </c>
      <c r="N24" s="5">
        <v>418653</v>
      </c>
      <c r="O24" s="5">
        <v>388794</v>
      </c>
      <c r="P24" s="5">
        <v>378639</v>
      </c>
      <c r="Q24" s="5">
        <v>422021</v>
      </c>
      <c r="R24" s="5">
        <v>455839</v>
      </c>
      <c r="S24" s="5">
        <v>442114</v>
      </c>
      <c r="T24" s="5">
        <v>444901</v>
      </c>
      <c r="U24" s="28">
        <v>461147</v>
      </c>
      <c r="V24" s="28">
        <v>491893</v>
      </c>
      <c r="W24" s="28">
        <v>497714</v>
      </c>
      <c r="X24" s="5">
        <v>515460</v>
      </c>
      <c r="Y24" s="5">
        <f>'[15]2019. II. Állomány adatok'!O74</f>
        <v>506084</v>
      </c>
      <c r="Z24" s="58">
        <v>541430</v>
      </c>
      <c r="AA24" s="5">
        <f>'[15]2019. IV. Állomány adatok'!O74</f>
        <v>539256</v>
      </c>
      <c r="AB24" s="60">
        <v>553560.84</v>
      </c>
      <c r="AC24" s="60">
        <f>'[15]2020. II. Állományi adatok'!O81</f>
        <v>525014</v>
      </c>
      <c r="AD24" s="60">
        <v>587213</v>
      </c>
      <c r="AE24" s="60">
        <v>610320</v>
      </c>
      <c r="AF24" s="60">
        <v>614665</v>
      </c>
      <c r="AG24" s="60"/>
      <c r="AH24" s="60"/>
      <c r="AI24" s="60"/>
      <c r="AJ24" s="86">
        <f>AC24/AB24*100-100</f>
        <v>-5.1569471568834189</v>
      </c>
      <c r="AQ24" s="241"/>
      <c r="BI24" s="173" t="s">
        <v>32</v>
      </c>
      <c r="BJ24" s="77" t="s">
        <v>0</v>
      </c>
      <c r="BK24" s="31" t="s">
        <v>1</v>
      </c>
      <c r="BL24" s="31" t="s">
        <v>2</v>
      </c>
      <c r="BM24" s="31" t="s">
        <v>3</v>
      </c>
      <c r="BN24" s="31" t="s">
        <v>4</v>
      </c>
      <c r="BO24" s="31" t="s">
        <v>5</v>
      </c>
      <c r="BP24" s="31" t="s">
        <v>6</v>
      </c>
      <c r="BQ24" s="31" t="s">
        <v>7</v>
      </c>
      <c r="BR24" s="31" t="s">
        <v>27</v>
      </c>
      <c r="BS24" s="31" t="s">
        <v>9</v>
      </c>
      <c r="BT24" s="31" t="s">
        <v>10</v>
      </c>
      <c r="BU24" s="174" t="s">
        <v>11</v>
      </c>
      <c r="BV24" s="174" t="s">
        <v>12</v>
      </c>
      <c r="BW24" s="3" t="s">
        <v>204</v>
      </c>
      <c r="BX24" s="3" t="s">
        <v>14</v>
      </c>
      <c r="BY24" s="3" t="s">
        <v>15</v>
      </c>
      <c r="BZ24" s="3" t="s">
        <v>16</v>
      </c>
      <c r="CA24" s="3" t="s">
        <v>17</v>
      </c>
      <c r="CB24" s="3" t="s">
        <v>18</v>
      </c>
      <c r="CC24" s="3" t="s">
        <v>19</v>
      </c>
      <c r="CD24" s="3" t="s">
        <v>20</v>
      </c>
      <c r="CE24" s="3" t="s">
        <v>201</v>
      </c>
      <c r="DO24" s="210" t="s">
        <v>255</v>
      </c>
      <c r="DP24" s="211">
        <v>9.3408097791321705</v>
      </c>
      <c r="DQ24" s="238">
        <f>'[15]2021. I. Állományi adatok'!O13+'[15]2021. I. Állományi adatok'!O60</f>
        <v>76078</v>
      </c>
      <c r="DR24" s="1"/>
      <c r="DS24" s="1"/>
      <c r="DT24" s="1"/>
      <c r="DV24" s="210" t="s">
        <v>263</v>
      </c>
      <c r="DW24" s="27">
        <f>DX24/DW28*100</f>
        <v>2.0696920324776018</v>
      </c>
      <c r="DX24" s="239">
        <v>16857</v>
      </c>
    </row>
    <row r="25" spans="4:131" ht="15.75" thickBot="1" x14ac:dyDescent="0.3">
      <c r="J25" s="20" t="s">
        <v>44</v>
      </c>
      <c r="K25" s="169">
        <f>K23+K24</f>
        <v>383821</v>
      </c>
      <c r="L25" s="148">
        <f t="shared" ref="L25:Z25" si="18">L23+L24</f>
        <v>389874</v>
      </c>
      <c r="M25" s="148">
        <f t="shared" si="18"/>
        <v>415922</v>
      </c>
      <c r="N25" s="148">
        <f t="shared" si="18"/>
        <v>422264</v>
      </c>
      <c r="O25" s="148">
        <f t="shared" si="18"/>
        <v>392750</v>
      </c>
      <c r="P25" s="148">
        <f t="shared" si="18"/>
        <v>383505</v>
      </c>
      <c r="Q25" s="148">
        <f t="shared" si="18"/>
        <v>428513</v>
      </c>
      <c r="R25" s="148">
        <f t="shared" si="18"/>
        <v>459966</v>
      </c>
      <c r="S25" s="148">
        <f t="shared" si="18"/>
        <v>450392</v>
      </c>
      <c r="T25" s="148">
        <f t="shared" si="18"/>
        <v>453423</v>
      </c>
      <c r="U25" s="208">
        <f t="shared" si="18"/>
        <v>465184</v>
      </c>
      <c r="V25" s="208">
        <f t="shared" si="18"/>
        <v>495972</v>
      </c>
      <c r="W25" s="208">
        <f t="shared" si="18"/>
        <v>505143</v>
      </c>
      <c r="X25" s="148">
        <f t="shared" si="18"/>
        <v>520449</v>
      </c>
      <c r="Y25" s="148">
        <f t="shared" si="18"/>
        <v>510810</v>
      </c>
      <c r="Z25" s="209">
        <f t="shared" si="18"/>
        <v>546466</v>
      </c>
      <c r="AA25" s="148">
        <f>AA23+AA24</f>
        <v>544888</v>
      </c>
      <c r="AB25" s="148">
        <f>AB23+AB24</f>
        <v>559144.64</v>
      </c>
      <c r="AC25" s="148">
        <f>AC23+AC24</f>
        <v>530419</v>
      </c>
      <c r="AD25" s="148">
        <f>AD23+AD24</f>
        <v>593244</v>
      </c>
      <c r="AE25" s="148">
        <f>AE23+AE24</f>
        <v>616467</v>
      </c>
      <c r="AF25" s="148">
        <v>620729</v>
      </c>
      <c r="AG25" s="148"/>
      <c r="AH25" s="148"/>
      <c r="AI25" s="148"/>
      <c r="AJ25" s="86"/>
      <c r="AK25" s="1109" t="s">
        <v>264</v>
      </c>
      <c r="AL25" s="1110"/>
      <c r="AM25" s="1110"/>
      <c r="AN25" s="1110"/>
      <c r="AO25" s="1110"/>
      <c r="AP25" s="1110"/>
      <c r="AQ25" s="1110"/>
      <c r="AR25" s="1110"/>
      <c r="AS25" s="1110"/>
      <c r="AT25" s="1110"/>
      <c r="AU25" s="1110"/>
      <c r="AV25" s="1110"/>
      <c r="AW25" s="1110"/>
      <c r="AX25" s="1110"/>
      <c r="AY25" s="1110"/>
      <c r="AZ25" s="1110"/>
      <c r="BA25" s="1110"/>
      <c r="BB25" s="1111"/>
      <c r="BI25" s="177" t="s">
        <v>35</v>
      </c>
      <c r="BJ25" s="178">
        <v>332.54899999999998</v>
      </c>
      <c r="BK25" s="178">
        <v>336.06400000000002</v>
      </c>
      <c r="BL25" s="179">
        <v>349.69499999999999</v>
      </c>
      <c r="BM25" s="179">
        <v>310.613</v>
      </c>
      <c r="BN25" s="179">
        <v>312.786</v>
      </c>
      <c r="BO25" s="179">
        <v>308.18400000000003</v>
      </c>
      <c r="BP25" s="179">
        <v>315.42700000000002</v>
      </c>
      <c r="BQ25" s="179">
        <v>305.62799999999999</v>
      </c>
      <c r="BR25" s="179">
        <v>284.17</v>
      </c>
      <c r="BS25" s="179">
        <v>301.46699999999998</v>
      </c>
      <c r="BT25" s="179">
        <v>314.30500000000001</v>
      </c>
      <c r="BU25" s="180">
        <v>331.17099999999999</v>
      </c>
      <c r="BV25" s="181">
        <v>314.52800000000002</v>
      </c>
      <c r="BW25" s="182">
        <v>350.202</v>
      </c>
      <c r="BX25" s="182">
        <v>373.863</v>
      </c>
      <c r="BY25" s="182">
        <v>388.93900000000002</v>
      </c>
      <c r="BZ25" s="182">
        <v>380</v>
      </c>
      <c r="CA25" s="182">
        <v>392.31833999999998</v>
      </c>
      <c r="CB25" s="182">
        <v>412.68099999999998</v>
      </c>
      <c r="CC25" s="182">
        <v>439.25099999999998</v>
      </c>
      <c r="CD25" s="182">
        <v>449.166</v>
      </c>
      <c r="CE25" s="182">
        <v>452.18099999999998</v>
      </c>
      <c r="CJ25" s="147"/>
      <c r="CK25" s="147"/>
      <c r="CL25" s="147"/>
      <c r="CM25" s="147"/>
      <c r="CN25" s="147"/>
      <c r="CO25" s="147"/>
      <c r="CP25" s="147"/>
      <c r="CQ25" s="147"/>
      <c r="CR25" s="147"/>
      <c r="DO25" s="210" t="s">
        <v>257</v>
      </c>
      <c r="DP25" s="211">
        <v>10.381978933513738</v>
      </c>
      <c r="DQ25" s="238">
        <f>'[15]2021. I. Állományi adatok'!O14+'[15]2021. I. Állományi adatok'!O61</f>
        <v>84558</v>
      </c>
      <c r="DR25" s="1"/>
      <c r="DS25" s="1"/>
      <c r="DT25" s="1"/>
      <c r="DV25" s="210" t="s">
        <v>265</v>
      </c>
      <c r="DW25" s="27">
        <f>DX25/DW28*100</f>
        <v>8.5777359236508701</v>
      </c>
      <c r="DX25" s="239">
        <v>69863</v>
      </c>
    </row>
    <row r="26" spans="4:131" ht="15.75" customHeight="1" thickBot="1" x14ac:dyDescent="0.4">
      <c r="D26" s="242" t="s">
        <v>266</v>
      </c>
      <c r="E26" s="242"/>
      <c r="F26" s="242"/>
      <c r="J26" s="25" t="s">
        <v>267</v>
      </c>
      <c r="K26" s="212">
        <v>0</v>
      </c>
      <c r="L26" s="14">
        <f>L25/K25*100-100</f>
        <v>1.5770372126590217</v>
      </c>
      <c r="M26" s="14">
        <f t="shared" ref="M26:U26" si="19">M25/L25*100-100</f>
        <v>6.6811328788275262</v>
      </c>
      <c r="N26" s="14">
        <f t="shared" si="19"/>
        <v>1.5248051317314264</v>
      </c>
      <c r="O26" s="14">
        <f t="shared" si="19"/>
        <v>-6.989466305439251</v>
      </c>
      <c r="P26" s="14">
        <f t="shared" si="19"/>
        <v>-2.3539147040101795</v>
      </c>
      <c r="Q26" s="14">
        <f t="shared" si="19"/>
        <v>11.735961721489943</v>
      </c>
      <c r="R26" s="14">
        <f t="shared" si="19"/>
        <v>7.3400340246386975</v>
      </c>
      <c r="S26" s="14">
        <f t="shared" si="19"/>
        <v>-2.081458194736129</v>
      </c>
      <c r="T26" s="14">
        <f t="shared" si="19"/>
        <v>0.67296932449953317</v>
      </c>
      <c r="U26" s="29">
        <f t="shared" si="19"/>
        <v>2.5938251919289428</v>
      </c>
      <c r="V26" s="29">
        <f>V25/U25*100-100</f>
        <v>6.6184563527550466</v>
      </c>
      <c r="W26" s="29">
        <f>W25/V25*100-100</f>
        <v>1.8490963199535315</v>
      </c>
      <c r="X26" s="14">
        <f>X25/V25*100-100</f>
        <v>4.935157629866211</v>
      </c>
      <c r="Y26" s="14">
        <f t="shared" ref="Y26:AC26" si="20">Y25/X25*100-100</f>
        <v>-1.8520546681807417</v>
      </c>
      <c r="Z26" s="57">
        <f t="shared" si="20"/>
        <v>6.9802862120945264</v>
      </c>
      <c r="AA26" s="14">
        <f t="shared" si="20"/>
        <v>-0.28876453429856497</v>
      </c>
      <c r="AB26" s="14">
        <f t="shared" si="20"/>
        <v>2.6164349370879876</v>
      </c>
      <c r="AC26" s="14">
        <f t="shared" si="20"/>
        <v>-5.1374256221073722</v>
      </c>
      <c r="AD26" s="14">
        <f>AD25/AC25*100-100</f>
        <v>11.844409796783296</v>
      </c>
      <c r="AE26" s="14">
        <f>AE25/AD25*100-100</f>
        <v>3.9145781499686478</v>
      </c>
      <c r="AF26" s="14">
        <f>AF25/AE25*100-100</f>
        <v>0.6913589859635465</v>
      </c>
      <c r="AG26" s="14"/>
      <c r="AH26" s="14"/>
      <c r="AI26" s="14"/>
      <c r="AJ26" s="27">
        <f>AD26-AC26</f>
        <v>16.981835418890668</v>
      </c>
      <c r="AK26" s="216" t="s">
        <v>268</v>
      </c>
      <c r="AL26" s="217" t="s">
        <v>269</v>
      </c>
      <c r="AM26" s="217" t="s">
        <v>270</v>
      </c>
      <c r="AN26" s="217" t="s">
        <v>271</v>
      </c>
      <c r="AO26" s="217" t="s">
        <v>272</v>
      </c>
      <c r="AP26" s="217" t="s">
        <v>273</v>
      </c>
      <c r="AQ26" s="217" t="s">
        <v>274</v>
      </c>
      <c r="AR26" s="217" t="s">
        <v>275</v>
      </c>
      <c r="AS26" s="217" t="s">
        <v>276</v>
      </c>
      <c r="AT26" s="218" t="s">
        <v>277</v>
      </c>
      <c r="AU26" s="218" t="s">
        <v>278</v>
      </c>
      <c r="AV26" s="218" t="s">
        <v>279</v>
      </c>
      <c r="AW26" s="218" t="s">
        <v>280</v>
      </c>
      <c r="AX26" s="218" t="s">
        <v>247</v>
      </c>
      <c r="AY26" s="218" t="s">
        <v>281</v>
      </c>
      <c r="AZ26" s="218" t="s">
        <v>282</v>
      </c>
      <c r="BA26" s="218" t="s">
        <v>283</v>
      </c>
      <c r="BB26" s="218" t="s">
        <v>251</v>
      </c>
      <c r="BZ26" s="27"/>
      <c r="CA26" s="27"/>
      <c r="CB26" s="27"/>
      <c r="CC26" s="27"/>
      <c r="CD26" s="27"/>
      <c r="CJ26" s="1"/>
      <c r="CK26" s="1"/>
      <c r="CL26" s="1"/>
      <c r="CM26" s="1"/>
      <c r="CN26" s="1"/>
      <c r="CO26" s="1"/>
      <c r="CP26" s="1"/>
      <c r="CQ26" s="1"/>
      <c r="CR26" s="1"/>
      <c r="DF26" s="27"/>
      <c r="DO26" s="210" t="s">
        <v>284</v>
      </c>
      <c r="DP26" s="211">
        <v>9.681031445027374</v>
      </c>
      <c r="DQ26" s="243">
        <f>'[15]2021. I. Állományi adatok'!O15+'[15]2021. I. Állományi adatok'!O62</f>
        <v>78849</v>
      </c>
      <c r="DR26" s="1"/>
      <c r="DS26" s="1"/>
      <c r="DT26" s="1"/>
      <c r="DV26" s="210" t="s">
        <v>285</v>
      </c>
      <c r="DW26" s="27">
        <f>DX26/DW28*100</f>
        <v>9.3408097791321705</v>
      </c>
      <c r="DX26" s="239">
        <v>76078</v>
      </c>
    </row>
    <row r="27" spans="4:131" ht="15.75" thickBot="1" x14ac:dyDescent="0.3">
      <c r="D27" t="s">
        <v>119</v>
      </c>
      <c r="E27" t="s">
        <v>164</v>
      </c>
      <c r="F27" s="203">
        <v>348750</v>
      </c>
      <c r="J27" s="15" t="s">
        <v>45</v>
      </c>
      <c r="K27" s="13">
        <f>K23/K25*100</f>
        <v>0.72559865145471458</v>
      </c>
      <c r="L27" s="14">
        <f t="shared" ref="L27:AC27" si="21">L23/L25*100</f>
        <v>0.76383652154285742</v>
      </c>
      <c r="M27" s="14">
        <f t="shared" si="21"/>
        <v>0.753987526507374</v>
      </c>
      <c r="N27" s="14">
        <f t="shared" si="21"/>
        <v>0.85515222704279792</v>
      </c>
      <c r="O27" s="14">
        <f t="shared" si="21"/>
        <v>1.0072565245066838</v>
      </c>
      <c r="P27" s="14">
        <f t="shared" si="21"/>
        <v>1.2688230922673758</v>
      </c>
      <c r="Q27" s="14">
        <f t="shared" si="21"/>
        <v>1.5150065458924233</v>
      </c>
      <c r="R27" s="14">
        <f t="shared" si="21"/>
        <v>0.89724023079966775</v>
      </c>
      <c r="S27" s="14">
        <f t="shared" si="21"/>
        <v>1.8379544929750085</v>
      </c>
      <c r="T27" s="14">
        <f t="shared" si="21"/>
        <v>1.8794811908526916</v>
      </c>
      <c r="U27" s="29">
        <f t="shared" si="21"/>
        <v>0.86782864414941174</v>
      </c>
      <c r="V27" s="29">
        <f t="shared" si="21"/>
        <v>0.82242545950174606</v>
      </c>
      <c r="W27" s="29">
        <f t="shared" si="21"/>
        <v>1.470672661008863</v>
      </c>
      <c r="X27" s="14">
        <f t="shared" si="21"/>
        <v>0.95859536669299017</v>
      </c>
      <c r="Y27" s="14">
        <f t="shared" si="21"/>
        <v>0.9251972357628081</v>
      </c>
      <c r="Z27" s="57">
        <f t="shared" si="21"/>
        <v>0.92155779133560012</v>
      </c>
      <c r="AA27" s="14">
        <f t="shared" si="21"/>
        <v>1.0336069063734199</v>
      </c>
      <c r="AB27" s="14">
        <f t="shared" si="21"/>
        <v>0.99863248264348925</v>
      </c>
      <c r="AC27" s="14">
        <f t="shared" si="21"/>
        <v>1.0190057294327692</v>
      </c>
      <c r="AD27" s="14">
        <f>AD23/AD25*100</f>
        <v>1.016613737349219</v>
      </c>
      <c r="AE27" s="14">
        <f>AE23/AE25*100</f>
        <v>0.99713366652229551</v>
      </c>
      <c r="AF27" s="14">
        <f>AF23/AF25*100</f>
        <v>0.97691585216737098</v>
      </c>
      <c r="AG27" s="14"/>
      <c r="AH27" s="14"/>
      <c r="AI27" s="14"/>
      <c r="AK27" s="244" t="s">
        <v>254</v>
      </c>
      <c r="AL27" s="220">
        <f t="shared" ref="AL27:AO29" si="22">O10/N10*100-100</f>
        <v>15.681392670115613</v>
      </c>
      <c r="AM27" s="245">
        <f t="shared" si="22"/>
        <v>7.5420695696209634</v>
      </c>
      <c r="AN27" s="245">
        <f t="shared" si="22"/>
        <v>4.7728892508972507</v>
      </c>
      <c r="AO27" s="245">
        <f t="shared" si="22"/>
        <v>-7.3690316036890664</v>
      </c>
      <c r="AP27" s="245">
        <f>T10/R10*100-100</f>
        <v>4.1382679137530261</v>
      </c>
      <c r="AQ27" s="245">
        <f t="shared" ref="AQ27:BB29" si="23">U10/T10*100-100</f>
        <v>4.0134863719644613</v>
      </c>
      <c r="AR27" s="245">
        <f t="shared" si="23"/>
        <v>1.7645118234398609</v>
      </c>
      <c r="AS27" s="245">
        <f t="shared" si="23"/>
        <v>-7.8252283386818107</v>
      </c>
      <c r="AT27" s="245">
        <f t="shared" si="23"/>
        <v>7.8852098269887279</v>
      </c>
      <c r="AU27" s="245">
        <f t="shared" si="23"/>
        <v>4.3037444670415113</v>
      </c>
      <c r="AV27" s="245">
        <f t="shared" si="23"/>
        <v>2.5313261648745424</v>
      </c>
      <c r="AW27" s="246">
        <f t="shared" si="23"/>
        <v>-2.438908433964059</v>
      </c>
      <c r="AX27" s="246">
        <f t="shared" si="23"/>
        <v>-2.3056065952524989</v>
      </c>
      <c r="AY27" s="246">
        <f t="shared" si="23"/>
        <v>6.4945358862156297</v>
      </c>
      <c r="AZ27" s="246">
        <f t="shared" si="23"/>
        <v>2.8420049153046705</v>
      </c>
      <c r="BA27" s="246">
        <f t="shared" si="23"/>
        <v>-2.010914556224435</v>
      </c>
      <c r="BB27" s="246">
        <f t="shared" si="23"/>
        <v>-0.94844391221494107</v>
      </c>
      <c r="BV27" s="27"/>
      <c r="CJ27" s="1"/>
      <c r="CK27" s="1"/>
      <c r="CL27" s="1"/>
      <c r="CM27" s="1"/>
      <c r="CN27" s="1"/>
      <c r="CO27" s="1"/>
      <c r="CP27" s="1"/>
      <c r="CQ27" s="1"/>
      <c r="CR27" s="1"/>
      <c r="DF27" s="1"/>
      <c r="DO27" s="210" t="s">
        <v>286</v>
      </c>
      <c r="DP27" s="211">
        <v>5.1938133925293659</v>
      </c>
      <c r="DQ27" s="238">
        <f>'[15]2021. I. Állományi adatok'!O16+'[15]2021. I. Állományi adatok'!O63</f>
        <v>42302</v>
      </c>
      <c r="DR27" s="1"/>
      <c r="DS27" s="1"/>
      <c r="DT27" s="1"/>
      <c r="DV27" s="210" t="s">
        <v>287</v>
      </c>
      <c r="DW27" s="27">
        <f>DX27/DW28*100</f>
        <v>10.381978933513738</v>
      </c>
      <c r="DX27" s="239">
        <v>84558</v>
      </c>
    </row>
    <row r="28" spans="4:131" ht="15.75" thickBot="1" x14ac:dyDescent="0.3">
      <c r="E28" t="s">
        <v>165</v>
      </c>
      <c r="F28" s="206">
        <v>4726</v>
      </c>
      <c r="J28" s="15" t="s">
        <v>46</v>
      </c>
      <c r="K28" s="13">
        <f t="shared" ref="K28:AF28" si="24">K24/K25*100</f>
        <v>99.274401348545283</v>
      </c>
      <c r="L28" s="14">
        <f t="shared" si="24"/>
        <v>99.236163478457144</v>
      </c>
      <c r="M28" s="14">
        <f t="shared" si="24"/>
        <v>99.246012473492627</v>
      </c>
      <c r="N28" s="14">
        <f t="shared" si="24"/>
        <v>99.144847772957206</v>
      </c>
      <c r="O28" s="14">
        <f t="shared" si="24"/>
        <v>98.992743475493313</v>
      </c>
      <c r="P28" s="14">
        <f t="shared" si="24"/>
        <v>98.731176907732618</v>
      </c>
      <c r="Q28" s="14">
        <f t="shared" si="24"/>
        <v>98.484993454107567</v>
      </c>
      <c r="R28" s="14">
        <f t="shared" si="24"/>
        <v>99.102759769200333</v>
      </c>
      <c r="S28" s="14">
        <f t="shared" si="24"/>
        <v>98.162045507024985</v>
      </c>
      <c r="T28" s="14">
        <f t="shared" si="24"/>
        <v>98.120518809147299</v>
      </c>
      <c r="U28" s="29">
        <f t="shared" si="24"/>
        <v>99.132171355850588</v>
      </c>
      <c r="V28" s="29">
        <f t="shared" si="24"/>
        <v>99.177574540498256</v>
      </c>
      <c r="W28" s="29">
        <f t="shared" si="24"/>
        <v>98.529327338991138</v>
      </c>
      <c r="X28" s="14">
        <f t="shared" si="24"/>
        <v>99.04140463330701</v>
      </c>
      <c r="Y28" s="14">
        <f t="shared" si="24"/>
        <v>99.074802764237191</v>
      </c>
      <c r="Z28" s="57">
        <f t="shared" si="24"/>
        <v>99.078442208664399</v>
      </c>
      <c r="AA28" s="14">
        <f t="shared" si="24"/>
        <v>98.966393093626579</v>
      </c>
      <c r="AB28" s="14">
        <f t="shared" si="24"/>
        <v>99.001367517356499</v>
      </c>
      <c r="AC28" s="14">
        <f t="shared" si="24"/>
        <v>98.980994270567237</v>
      </c>
      <c r="AD28" s="14">
        <f t="shared" si="24"/>
        <v>98.983386262650782</v>
      </c>
      <c r="AE28" s="14">
        <f t="shared" si="24"/>
        <v>99.002866333477698</v>
      </c>
      <c r="AF28" s="14">
        <f t="shared" si="24"/>
        <v>99.023084147832634</v>
      </c>
      <c r="AG28" s="14"/>
      <c r="AH28" s="14"/>
      <c r="AI28" s="14"/>
      <c r="AK28" s="247" t="s">
        <v>256</v>
      </c>
      <c r="AL28" s="223">
        <f t="shared" si="22"/>
        <v>0.69958437026139109</v>
      </c>
      <c r="AM28" s="248">
        <f t="shared" si="22"/>
        <v>-1.4712934722142279</v>
      </c>
      <c r="AN28" s="248">
        <f t="shared" si="22"/>
        <v>2.3502193494795165</v>
      </c>
      <c r="AO28" s="248">
        <f t="shared" si="22"/>
        <v>-3.1065825056193717</v>
      </c>
      <c r="AP28" s="248">
        <f>T11/R11*100-100</f>
        <v>-1.361459028623031</v>
      </c>
      <c r="AQ28" s="248">
        <f t="shared" si="23"/>
        <v>4.2585092232317265</v>
      </c>
      <c r="AR28" s="248">
        <f t="shared" si="23"/>
        <v>5.3661252604953802</v>
      </c>
      <c r="AS28" s="248">
        <f t="shared" si="23"/>
        <v>-5.025500421232536</v>
      </c>
      <c r="AT28" s="248">
        <f t="shared" si="23"/>
        <v>11.342074473496794</v>
      </c>
      <c r="AU28" s="248">
        <f t="shared" si="23"/>
        <v>6.7563863141843825</v>
      </c>
      <c r="AV28" s="248">
        <f t="shared" si="23"/>
        <v>4.0324931860066471</v>
      </c>
      <c r="AW28" s="249">
        <f t="shared" si="23"/>
        <v>-2.2983038471328427</v>
      </c>
      <c r="AX28" s="249">
        <f t="shared" si="23"/>
        <v>3.2416684210526228</v>
      </c>
      <c r="AY28" s="249">
        <f t="shared" si="23"/>
        <v>5.1903410888208867</v>
      </c>
      <c r="AZ28" s="249">
        <f t="shared" si="23"/>
        <v>6.4383870350222168</v>
      </c>
      <c r="BA28" s="249">
        <f t="shared" si="23"/>
        <v>2.2572515486589708</v>
      </c>
      <c r="BB28" s="249">
        <f t="shared" si="23"/>
        <v>0.67124403895219587</v>
      </c>
      <c r="CJ28" s="1"/>
      <c r="CK28" s="1"/>
      <c r="CL28" s="1"/>
      <c r="CM28" s="1"/>
      <c r="CN28" s="1"/>
      <c r="CO28" s="1"/>
      <c r="CP28" s="1"/>
      <c r="CQ28" s="1"/>
      <c r="CR28" s="1"/>
      <c r="DO28" s="210" t="s">
        <v>115</v>
      </c>
      <c r="DP28" s="214">
        <v>11.930840830037729</v>
      </c>
      <c r="DQ28" s="238">
        <f>'[15]2021. I. Állományi adatok'!O17+'[15]2021. I. Állományi adatok'!O64</f>
        <v>97173</v>
      </c>
      <c r="DR28" s="1"/>
      <c r="DS28" s="1"/>
      <c r="DT28" s="1"/>
      <c r="DV28" s="250" t="s">
        <v>288</v>
      </c>
      <c r="DW28" s="251">
        <v>814469</v>
      </c>
      <c r="DX28" s="1">
        <f>DX21+DX22+DX23+DX24</f>
        <v>583969</v>
      </c>
    </row>
    <row r="29" spans="4:131" ht="15.75" thickBot="1" x14ac:dyDescent="0.3">
      <c r="E29" t="s">
        <v>177</v>
      </c>
      <c r="F29" s="72">
        <v>353476</v>
      </c>
      <c r="J29" s="21" t="s">
        <v>26</v>
      </c>
      <c r="K29" s="44">
        <v>825056</v>
      </c>
      <c r="L29" s="99">
        <v>848204</v>
      </c>
      <c r="M29" s="99">
        <v>924696</v>
      </c>
      <c r="N29" s="99">
        <v>985514</v>
      </c>
      <c r="O29" s="99">
        <v>997791</v>
      </c>
      <c r="P29" s="99">
        <v>1005984</v>
      </c>
      <c r="Q29" s="99">
        <v>1073238</v>
      </c>
      <c r="R29" s="99">
        <v>1070624</v>
      </c>
      <c r="S29" s="99">
        <v>1030760</v>
      </c>
      <c r="T29" s="99">
        <v>1072544</v>
      </c>
      <c r="U29" s="45">
        <v>1109892</v>
      </c>
      <c r="V29" s="47">
        <v>1163376</v>
      </c>
      <c r="W29" s="47">
        <v>1129593</v>
      </c>
      <c r="X29" s="42">
        <v>1205011</v>
      </c>
      <c r="Y29" s="50">
        <v>1233423</v>
      </c>
      <c r="Z29" s="55">
        <v>1292983</v>
      </c>
      <c r="AA29" s="50">
        <v>1273745</v>
      </c>
      <c r="AB29" s="59">
        <v>1292276.71</v>
      </c>
      <c r="AC29" s="59">
        <v>1306049</v>
      </c>
      <c r="AD29" s="59">
        <v>1405757</v>
      </c>
      <c r="AE29" s="59">
        <v>1431391</v>
      </c>
      <c r="AF29" s="59">
        <v>1435198</v>
      </c>
      <c r="AG29" s="59"/>
      <c r="AH29" s="59"/>
      <c r="AI29" s="59"/>
      <c r="AK29" s="252" t="s">
        <v>36</v>
      </c>
      <c r="AL29" s="227">
        <f t="shared" si="22"/>
        <v>7.4194407456724463</v>
      </c>
      <c r="AM29" s="253">
        <f t="shared" si="22"/>
        <v>2.8824540526246096</v>
      </c>
      <c r="AN29" s="253">
        <f t="shared" si="22"/>
        <v>3.5734481429122269</v>
      </c>
      <c r="AO29" s="253">
        <f t="shared" si="22"/>
        <v>-5.2836562622145351</v>
      </c>
      <c r="AP29" s="253">
        <f>T12/R12*100-100</f>
        <v>1.3857160870469443</v>
      </c>
      <c r="AQ29" s="253">
        <f t="shared" si="23"/>
        <v>4.1327947202566264</v>
      </c>
      <c r="AR29" s="253">
        <f t="shared" si="23"/>
        <v>3.520353400299058</v>
      </c>
      <c r="AS29" s="253">
        <f t="shared" si="23"/>
        <v>-6.4359818041246371</v>
      </c>
      <c r="AT29" s="253">
        <f t="shared" si="23"/>
        <v>9.6263912242773557</v>
      </c>
      <c r="AU29" s="253">
        <f t="shared" si="23"/>
        <v>5.5584446697304344</v>
      </c>
      <c r="AV29" s="253">
        <f t="shared" si="23"/>
        <v>3.3079947357714303</v>
      </c>
      <c r="AW29" s="254">
        <f t="shared" si="23"/>
        <v>-2.3656527580751714</v>
      </c>
      <c r="AX29" s="254">
        <f t="shared" si="23"/>
        <v>0.58654441131797341</v>
      </c>
      <c r="AY29" s="254">
        <f t="shared" si="23"/>
        <v>5.7966267933143456</v>
      </c>
      <c r="AZ29" s="254">
        <f t="shared" si="23"/>
        <v>4.7554952174299672</v>
      </c>
      <c r="BA29" s="254">
        <f t="shared" si="23"/>
        <v>0.29648719898980858</v>
      </c>
      <c r="BB29" s="254">
        <f t="shared" si="23"/>
        <v>-5.5710784945333103E-2</v>
      </c>
      <c r="DO29" s="250" t="s">
        <v>288</v>
      </c>
      <c r="DP29" s="255">
        <v>814469</v>
      </c>
      <c r="DQ29" s="256"/>
      <c r="DR29" s="1"/>
    </row>
    <row r="30" spans="4:131" ht="15.75" thickBot="1" x14ac:dyDescent="0.3">
      <c r="J30" s="21" t="s">
        <v>47</v>
      </c>
      <c r="K30" s="40">
        <v>0</v>
      </c>
      <c r="L30" s="46">
        <f>L29/K29*100-100</f>
        <v>2.8056277392080062</v>
      </c>
      <c r="M30" s="46">
        <f t="shared" ref="M30:W30" si="25">M29/L29*100-100</f>
        <v>9.0181135670192418</v>
      </c>
      <c r="N30" s="46">
        <f t="shared" si="25"/>
        <v>6.5770804675266277</v>
      </c>
      <c r="O30" s="46">
        <f t="shared" si="25"/>
        <v>1.245745874741516</v>
      </c>
      <c r="P30" s="46">
        <f t="shared" si="25"/>
        <v>0.82111384047361469</v>
      </c>
      <c r="Q30" s="46">
        <f t="shared" si="25"/>
        <v>6.6853945987212597</v>
      </c>
      <c r="R30" s="46">
        <f t="shared" si="25"/>
        <v>-0.24356200581790688</v>
      </c>
      <c r="S30" s="46">
        <f t="shared" si="25"/>
        <v>-3.7234360522461714</v>
      </c>
      <c r="T30" s="46">
        <f t="shared" si="25"/>
        <v>4.0537079436532224</v>
      </c>
      <c r="U30" s="46">
        <f t="shared" si="25"/>
        <v>3.4821881433302622</v>
      </c>
      <c r="V30" s="48">
        <f t="shared" si="25"/>
        <v>4.8188472391908306</v>
      </c>
      <c r="W30" s="48">
        <f t="shared" si="25"/>
        <v>-2.9038763048231999</v>
      </c>
      <c r="X30" s="46">
        <f>X29/V29*100-100</f>
        <v>3.5788085709177437</v>
      </c>
      <c r="Y30" s="46">
        <f t="shared" ref="Y30:AC30" si="26">Y29/X29*100-100</f>
        <v>2.3578207999761105</v>
      </c>
      <c r="Z30" s="46">
        <f t="shared" si="26"/>
        <v>4.8288381196069707</v>
      </c>
      <c r="AA30" s="46">
        <f t="shared" si="26"/>
        <v>-1.4878772574736132</v>
      </c>
      <c r="AB30" s="46">
        <f t="shared" si="26"/>
        <v>1.4548995285555577</v>
      </c>
      <c r="AC30" s="46">
        <f t="shared" si="26"/>
        <v>1.0657384671120411</v>
      </c>
      <c r="AD30" s="46">
        <f>AD29/AC29*100-100</f>
        <v>7.6343230613858992</v>
      </c>
      <c r="AE30" s="46">
        <f>AE29/AD29*100-100</f>
        <v>1.8235015013263336</v>
      </c>
      <c r="AF30" s="46">
        <f>AF29/AE29*100-100</f>
        <v>0.2659650647516969</v>
      </c>
      <c r="AG30" s="46"/>
      <c r="AH30" s="46"/>
      <c r="AI30" s="46"/>
      <c r="AK30" s="3" t="s">
        <v>289</v>
      </c>
      <c r="AL30" s="257" t="s">
        <v>269</v>
      </c>
      <c r="AM30" s="257" t="s">
        <v>270</v>
      </c>
      <c r="AN30" s="257" t="s">
        <v>271</v>
      </c>
      <c r="AO30" s="257" t="s">
        <v>272</v>
      </c>
      <c r="AP30" s="257" t="s">
        <v>273</v>
      </c>
      <c r="AQ30" s="257" t="s">
        <v>274</v>
      </c>
      <c r="AR30" s="257" t="s">
        <v>275</v>
      </c>
      <c r="AS30" s="257" t="s">
        <v>276</v>
      </c>
      <c r="AT30" s="3" t="s">
        <v>277</v>
      </c>
      <c r="AU30" s="3" t="s">
        <v>278</v>
      </c>
      <c r="AV30" s="3" t="s">
        <v>279</v>
      </c>
      <c r="AW30" s="218" t="s">
        <v>280</v>
      </c>
      <c r="AX30" s="218" t="s">
        <v>247</v>
      </c>
      <c r="AY30" s="218" t="s">
        <v>281</v>
      </c>
      <c r="AZ30" s="218" t="s">
        <v>282</v>
      </c>
      <c r="BA30" s="218" t="s">
        <v>283</v>
      </c>
      <c r="BB30" s="218" t="s">
        <v>251</v>
      </c>
    </row>
    <row r="31" spans="4:131" ht="15.75" thickBot="1" x14ac:dyDescent="0.3">
      <c r="J31" s="22" t="s">
        <v>31</v>
      </c>
      <c r="K31" s="18">
        <f t="shared" ref="K31:U31" si="27">K25/K29*100</f>
        <v>46.52059981383082</v>
      </c>
      <c r="L31" s="11">
        <f t="shared" si="27"/>
        <v>45.964650013440163</v>
      </c>
      <c r="M31" s="11">
        <f t="shared" si="27"/>
        <v>44.97932293424001</v>
      </c>
      <c r="N31" s="11">
        <f t="shared" si="27"/>
        <v>42.847082842049936</v>
      </c>
      <c r="O31" s="11">
        <f t="shared" si="27"/>
        <v>39.361950548762216</v>
      </c>
      <c r="P31" s="11">
        <f t="shared" si="27"/>
        <v>38.122375703788528</v>
      </c>
      <c r="Q31" s="11">
        <f t="shared" si="27"/>
        <v>39.927117750210108</v>
      </c>
      <c r="R31" s="11">
        <f t="shared" si="27"/>
        <v>42.962421914696478</v>
      </c>
      <c r="S31" s="11">
        <f t="shared" si="27"/>
        <v>43.695137568396134</v>
      </c>
      <c r="T31" s="11">
        <f t="shared" si="27"/>
        <v>42.275468419011247</v>
      </c>
      <c r="U31" s="200">
        <f t="shared" si="27"/>
        <v>41.912546445960508</v>
      </c>
      <c r="V31" s="200">
        <f>V25/V29*100</f>
        <v>42.632132689689314</v>
      </c>
      <c r="W31" s="200">
        <f t="shared" ref="W31:AF31" si="28">W25/W29*100</f>
        <v>44.719027118617063</v>
      </c>
      <c r="X31" s="11">
        <f t="shared" si="28"/>
        <v>43.190394112584862</v>
      </c>
      <c r="Y31" s="11">
        <f t="shared" si="28"/>
        <v>41.414016116125616</v>
      </c>
      <c r="Z31" s="11">
        <f t="shared" si="28"/>
        <v>42.26397408163912</v>
      </c>
      <c r="AA31" s="258">
        <f t="shared" si="28"/>
        <v>42.77842111254607</v>
      </c>
      <c r="AB31" s="10">
        <f t="shared" si="28"/>
        <v>43.268182090815522</v>
      </c>
      <c r="AC31" s="10">
        <f t="shared" si="28"/>
        <v>40.612488505408294</v>
      </c>
      <c r="AD31" s="10">
        <f t="shared" si="28"/>
        <v>42.201034744980817</v>
      </c>
      <c r="AE31" s="10">
        <f t="shared" si="28"/>
        <v>43.067687305565002</v>
      </c>
      <c r="AF31" s="10">
        <f t="shared" si="28"/>
        <v>43.250408654415629</v>
      </c>
      <c r="AG31" s="10"/>
      <c r="AH31" s="10"/>
      <c r="AI31" s="10"/>
      <c r="AK31" s="24" t="s">
        <v>254</v>
      </c>
      <c r="AL31" s="245">
        <f t="shared" ref="AL31:AO33" si="29">N23/O23*100-100</f>
        <v>-8.7209302325581461</v>
      </c>
      <c r="AM31" s="220">
        <f t="shared" si="29"/>
        <v>-18.701191944101936</v>
      </c>
      <c r="AN31" s="220">
        <f t="shared" si="29"/>
        <v>-25.046210720887245</v>
      </c>
      <c r="AO31" s="220">
        <f t="shared" si="29"/>
        <v>57.305548824812206</v>
      </c>
      <c r="AP31" s="220">
        <f t="shared" ref="AP31:AQ33" si="30">T23/R23*100-100</f>
        <v>106.49382117761084</v>
      </c>
      <c r="AQ31" s="220">
        <f t="shared" si="30"/>
        <v>-51.232181686397681</v>
      </c>
      <c r="AR31" s="220">
        <f t="shared" ref="AR31:BB33" si="31">V23/U23*100-100</f>
        <v>1.040376517215762</v>
      </c>
      <c r="AS31" s="220">
        <f t="shared" si="31"/>
        <v>82.127972542289797</v>
      </c>
      <c r="AT31" s="220">
        <f t="shared" si="31"/>
        <v>-32.844258985058545</v>
      </c>
      <c r="AU31" s="205">
        <f t="shared" si="31"/>
        <v>-5.2715975145319618</v>
      </c>
      <c r="AV31" s="205">
        <f t="shared" si="31"/>
        <v>6.5594583157003683</v>
      </c>
      <c r="AW31" s="205">
        <f t="shared" si="31"/>
        <v>11.834789515488481</v>
      </c>
      <c r="AX31" s="205">
        <f t="shared" si="31"/>
        <v>-0.85582386363635976</v>
      </c>
      <c r="AY31" s="205">
        <f t="shared" si="31"/>
        <v>-3.202120419785814</v>
      </c>
      <c r="AZ31" s="205">
        <f t="shared" si="31"/>
        <v>11.581868640148002</v>
      </c>
      <c r="BA31" s="205">
        <f t="shared" si="31"/>
        <v>1.9233957884264612</v>
      </c>
      <c r="BB31" s="205">
        <f t="shared" si="31"/>
        <v>-1.3502521555230231</v>
      </c>
      <c r="DO31" s="259" t="s">
        <v>290</v>
      </c>
      <c r="DP31" s="176" t="s">
        <v>201</v>
      </c>
      <c r="DR31" s="147" t="s">
        <v>291</v>
      </c>
      <c r="DS31" s="1" t="s">
        <v>291</v>
      </c>
      <c r="DV31" s="259" t="s">
        <v>290</v>
      </c>
      <c r="DW31" s="176" t="s">
        <v>12</v>
      </c>
    </row>
    <row r="32" spans="4:131" ht="15.75" thickBot="1" x14ac:dyDescent="0.3">
      <c r="D32" t="s">
        <v>253</v>
      </c>
      <c r="E32" t="s">
        <v>164</v>
      </c>
      <c r="F32" s="203">
        <v>373863</v>
      </c>
      <c r="H32" s="86">
        <v>1273.7449999999999</v>
      </c>
      <c r="J32" s="22" t="s">
        <v>48</v>
      </c>
      <c r="K32" s="18">
        <v>0</v>
      </c>
      <c r="L32" s="11">
        <v>0</v>
      </c>
      <c r="M32" s="11">
        <v>0</v>
      </c>
      <c r="N32" s="11">
        <v>0</v>
      </c>
      <c r="O32" s="11">
        <f t="shared" ref="O32:Q32" si="32">O25/K25*100-100</f>
        <v>2.3263448326172949</v>
      </c>
      <c r="P32" s="11">
        <f t="shared" si="32"/>
        <v>-1.6336047030579124</v>
      </c>
      <c r="Q32" s="11">
        <f t="shared" si="32"/>
        <v>3.0272503017392722</v>
      </c>
      <c r="R32" s="11">
        <f>R25/N25*100-100</f>
        <v>8.928537597332479</v>
      </c>
      <c r="S32" s="11">
        <f>S25/O25*100-100</f>
        <v>14.676511775938891</v>
      </c>
      <c r="T32" s="11">
        <f>T25/O25*100-100</f>
        <v>15.448249522597067</v>
      </c>
      <c r="U32" s="11">
        <f>U25/P25*100-100</f>
        <v>21.298027405118575</v>
      </c>
      <c r="V32" s="200">
        <f>V25/Q25*100-100</f>
        <v>15.742579571681617</v>
      </c>
      <c r="W32" s="200">
        <f>W25/R25*100-100</f>
        <v>9.8218129166068877</v>
      </c>
      <c r="X32" s="11">
        <f>X25/T25*100-100</f>
        <v>14.78222322202447</v>
      </c>
      <c r="Y32" s="11">
        <f>Y25/U25*100-100</f>
        <v>9.8081619316227489</v>
      </c>
      <c r="Z32" s="11">
        <f t="shared" ref="Z32:AA32" si="33">Z25/V25*100-100</f>
        <v>10.180816659004947</v>
      </c>
      <c r="AA32" s="11">
        <f t="shared" si="33"/>
        <v>7.8680690418356818</v>
      </c>
      <c r="AB32" s="10">
        <f>AB25/X25*100-100</f>
        <v>7.4350493516175362</v>
      </c>
      <c r="AC32" s="10">
        <f>AC25/Y25*100-100</f>
        <v>3.8388050351402683</v>
      </c>
      <c r="AD32" s="10">
        <f>AD25/Z25*100-100</f>
        <v>8.5600934001383422</v>
      </c>
      <c r="AE32" s="10">
        <f>AE25/AA25*100-100</f>
        <v>13.13646107089896</v>
      </c>
      <c r="AF32" s="10">
        <f>AF25/AB25*100-100</f>
        <v>11.014030287404708</v>
      </c>
      <c r="AG32" s="10"/>
      <c r="AH32" s="10"/>
      <c r="AI32" s="10"/>
      <c r="AJ32" s="27"/>
      <c r="AK32" s="25" t="s">
        <v>256</v>
      </c>
      <c r="AL32" s="248">
        <f t="shared" si="29"/>
        <v>7.6799024676306828</v>
      </c>
      <c r="AM32" s="223">
        <f t="shared" si="29"/>
        <v>2.6819741231093559</v>
      </c>
      <c r="AN32" s="223">
        <f t="shared" si="29"/>
        <v>-10.279583243487892</v>
      </c>
      <c r="AO32" s="223">
        <f t="shared" si="29"/>
        <v>-7.4188474439440171</v>
      </c>
      <c r="AP32" s="223">
        <f t="shared" si="30"/>
        <v>-2.3995314135034533</v>
      </c>
      <c r="AQ32" s="223">
        <f t="shared" si="30"/>
        <v>4.3049982583677462</v>
      </c>
      <c r="AR32" s="223">
        <f t="shared" si="31"/>
        <v>6.6672883050307234</v>
      </c>
      <c r="AS32" s="223">
        <f t="shared" si="31"/>
        <v>1.1833874440172849</v>
      </c>
      <c r="AT32" s="223">
        <f t="shared" si="31"/>
        <v>3.565501472733331</v>
      </c>
      <c r="AU32" s="211">
        <f t="shared" si="31"/>
        <v>-1.8189578240794617</v>
      </c>
      <c r="AV32" s="211">
        <f t="shared" si="31"/>
        <v>6.98421605899415</v>
      </c>
      <c r="AW32" s="211">
        <f t="shared" si="31"/>
        <v>-0.40152928356388884</v>
      </c>
      <c r="AX32" s="211">
        <f t="shared" si="31"/>
        <v>2.652699274556042</v>
      </c>
      <c r="AY32" s="211">
        <f t="shared" si="31"/>
        <v>-5.1569471568834189</v>
      </c>
      <c r="AZ32" s="211">
        <f t="shared" si="31"/>
        <v>11.847112648424613</v>
      </c>
      <c r="BA32" s="211">
        <f t="shared" si="31"/>
        <v>3.9350286863540305</v>
      </c>
      <c r="BB32" s="211">
        <f t="shared" si="31"/>
        <v>0.7119216148905565</v>
      </c>
      <c r="DO32" s="204" t="s">
        <v>293</v>
      </c>
      <c r="DP32" s="263">
        <v>30.119658675864088</v>
      </c>
      <c r="DR32" s="1">
        <v>48860</v>
      </c>
      <c r="DS32" s="1">
        <v>185135</v>
      </c>
      <c r="DT32" t="s">
        <v>293</v>
      </c>
      <c r="DX32" s="264">
        <f>'[15]2018. IV. - Állományi_R'!M15+'[15]2018. IV. - Állományi_R'!M55</f>
        <v>61840.32</v>
      </c>
      <c r="EA32" s="1"/>
    </row>
    <row r="33" spans="3:131" ht="15.75" thickBot="1" x14ac:dyDescent="0.3">
      <c r="E33" t="s">
        <v>165</v>
      </c>
      <c r="F33" s="206">
        <v>506084</v>
      </c>
      <c r="AD33" s="32">
        <f>AD29/Z29*100-100</f>
        <v>8.7220017587238203</v>
      </c>
      <c r="AE33" s="1"/>
      <c r="AF33" s="1"/>
      <c r="AG33" s="1"/>
      <c r="AH33" s="1"/>
      <c r="AI33" s="1"/>
      <c r="AK33" s="20" t="s">
        <v>44</v>
      </c>
      <c r="AL33" s="253">
        <f t="shared" si="29"/>
        <v>7.5147040101845874</v>
      </c>
      <c r="AM33" s="227">
        <f t="shared" si="29"/>
        <v>2.4106595741906887</v>
      </c>
      <c r="AN33" s="227">
        <f t="shared" si="29"/>
        <v>-10.503298616378032</v>
      </c>
      <c r="AO33" s="227">
        <f t="shared" si="29"/>
        <v>-6.8381141214785401</v>
      </c>
      <c r="AP33" s="227">
        <f t="shared" si="30"/>
        <v>-1.4224964453894415</v>
      </c>
      <c r="AQ33" s="227">
        <f t="shared" si="30"/>
        <v>3.2842501643013122</v>
      </c>
      <c r="AR33" s="227">
        <f t="shared" si="31"/>
        <v>6.6184563527550466</v>
      </c>
      <c r="AS33" s="227">
        <f t="shared" si="31"/>
        <v>1.8490963199535315</v>
      </c>
      <c r="AT33" s="227">
        <f t="shared" si="31"/>
        <v>3.0300330797417701</v>
      </c>
      <c r="AU33" s="237">
        <f t="shared" si="31"/>
        <v>-1.8520546681807417</v>
      </c>
      <c r="AV33" s="237">
        <f t="shared" si="31"/>
        <v>6.9802862120945264</v>
      </c>
      <c r="AW33" s="237">
        <f t="shared" si="31"/>
        <v>-0.28876453429856497</v>
      </c>
      <c r="AX33" s="237">
        <f t="shared" si="31"/>
        <v>2.6164349370879876</v>
      </c>
      <c r="AY33" s="237">
        <f t="shared" si="31"/>
        <v>-5.1374256221073722</v>
      </c>
      <c r="AZ33" s="237">
        <f t="shared" si="31"/>
        <v>11.844409796783296</v>
      </c>
      <c r="BA33" s="237">
        <f t="shared" si="31"/>
        <v>3.9145781499686478</v>
      </c>
      <c r="BB33" s="237">
        <f t="shared" si="31"/>
        <v>0.6913589859635465</v>
      </c>
      <c r="DO33" s="210" t="s">
        <v>126</v>
      </c>
      <c r="DP33" s="149">
        <v>11.628610706645084</v>
      </c>
      <c r="DR33" s="1">
        <v>69789</v>
      </c>
      <c r="DS33" s="1">
        <v>71477</v>
      </c>
      <c r="DT33" t="s">
        <v>126</v>
      </c>
      <c r="DX33" s="239">
        <f>'[15]2018. IV. - Állományi_R'!M16+'[15]2018. IV. - Állományi_R'!M56</f>
        <v>41037.57</v>
      </c>
      <c r="EA33" s="1"/>
    </row>
    <row r="34" spans="3:131" ht="15.75" thickBot="1" x14ac:dyDescent="0.3">
      <c r="E34" t="s">
        <v>177</v>
      </c>
      <c r="F34" s="72">
        <v>879947</v>
      </c>
      <c r="AY34" s="1"/>
      <c r="DO34" s="210" t="s">
        <v>295</v>
      </c>
      <c r="DP34" s="149">
        <v>11.353989571555237</v>
      </c>
      <c r="DR34" s="1">
        <v>13607</v>
      </c>
      <c r="DS34" s="1">
        <v>69789</v>
      </c>
      <c r="DT34" t="s">
        <v>295</v>
      </c>
      <c r="DX34" s="239">
        <f>'[15]2018. IV. - Állományi_R'!M17+'[15]2018. IV. - Állományi_R'!M57</f>
        <v>7573.82</v>
      </c>
      <c r="EA34" s="1"/>
    </row>
    <row r="35" spans="3:131" ht="15.75" thickBot="1" x14ac:dyDescent="0.3">
      <c r="K35" s="34" t="s">
        <v>0</v>
      </c>
      <c r="L35" s="54" t="s">
        <v>1</v>
      </c>
      <c r="M35" s="31" t="s">
        <v>2</v>
      </c>
      <c r="N35" s="31" t="s">
        <v>3</v>
      </c>
      <c r="O35" s="31" t="s">
        <v>4</v>
      </c>
      <c r="P35" s="31" t="s">
        <v>5</v>
      </c>
      <c r="Q35" s="31" t="s">
        <v>6</v>
      </c>
      <c r="R35" s="31" t="s">
        <v>7</v>
      </c>
      <c r="S35" s="61" t="s">
        <v>8</v>
      </c>
      <c r="T35" s="61" t="s">
        <v>9</v>
      </c>
      <c r="U35" s="49" t="s">
        <v>10</v>
      </c>
      <c r="V35" s="35" t="s">
        <v>11</v>
      </c>
      <c r="W35" s="94" t="s">
        <v>12</v>
      </c>
      <c r="X35" s="94" t="s">
        <v>13</v>
      </c>
      <c r="Y35" s="94" t="s">
        <v>14</v>
      </c>
      <c r="Z35" s="73" t="s">
        <v>15</v>
      </c>
      <c r="AA35" s="75" t="s">
        <v>16</v>
      </c>
      <c r="AB35" s="36" t="s">
        <v>17</v>
      </c>
      <c r="AC35" s="36" t="s">
        <v>18</v>
      </c>
      <c r="AD35" s="36" t="s">
        <v>19</v>
      </c>
      <c r="AE35" s="94" t="s">
        <v>20</v>
      </c>
      <c r="AF35" s="94" t="s">
        <v>202</v>
      </c>
      <c r="AG35" s="94" t="s">
        <v>21</v>
      </c>
      <c r="AH35" s="94" t="s">
        <v>22</v>
      </c>
      <c r="AI35" s="94" t="s">
        <v>203</v>
      </c>
      <c r="DJ35" s="266"/>
      <c r="DO35" s="210" t="s">
        <v>296</v>
      </c>
      <c r="DP35" s="149">
        <v>7.9490454149821446</v>
      </c>
      <c r="DR35" s="1">
        <v>3236</v>
      </c>
      <c r="DS35" s="1">
        <v>48860</v>
      </c>
      <c r="DT35" t="s">
        <v>296</v>
      </c>
      <c r="DX35" s="239">
        <f>'[15]2018. IV. - Állományi_R'!M18+'[15]2018. IV. - Állományi_R'!M58</f>
        <v>3643.05</v>
      </c>
      <c r="EA35" s="1"/>
    </row>
    <row r="36" spans="3:131" ht="19.5" thickBot="1" x14ac:dyDescent="0.35">
      <c r="C36" s="267"/>
      <c r="J36" s="37" t="s">
        <v>24</v>
      </c>
      <c r="K36" s="268">
        <v>441236</v>
      </c>
      <c r="L36" s="268">
        <v>458330</v>
      </c>
      <c r="M36" s="268">
        <v>508774</v>
      </c>
      <c r="N36" s="268">
        <v>563250</v>
      </c>
      <c r="O36" s="268">
        <v>605040</v>
      </c>
      <c r="P36" s="268">
        <v>622480</v>
      </c>
      <c r="Q36" s="268">
        <v>644724</v>
      </c>
      <c r="R36" s="268">
        <v>610659</v>
      </c>
      <c r="S36" s="268">
        <v>580368</v>
      </c>
      <c r="T36" s="268">
        <v>619121</v>
      </c>
      <c r="U36" s="269">
        <v>644708</v>
      </c>
      <c r="V36" s="150">
        <v>667404</v>
      </c>
      <c r="W36" s="268">
        <v>624450</v>
      </c>
      <c r="X36" s="268">
        <v>684562</v>
      </c>
      <c r="Y36" s="268">
        <v>722613</v>
      </c>
      <c r="Z36" s="270">
        <v>746517</v>
      </c>
      <c r="AA36" s="269">
        <v>728857</v>
      </c>
      <c r="AB36" s="269">
        <v>733132.07</v>
      </c>
      <c r="AC36" s="268">
        <v>775629</v>
      </c>
      <c r="AD36" s="268">
        <v>812514</v>
      </c>
      <c r="AE36" s="271">
        <v>814923</v>
      </c>
      <c r="AF36" s="271">
        <v>814469</v>
      </c>
      <c r="AG36" s="271"/>
      <c r="AH36" s="271"/>
      <c r="AI36" s="271"/>
      <c r="AK36" s="1112" t="s">
        <v>297</v>
      </c>
      <c r="AL36" s="1113"/>
      <c r="AM36" s="1113"/>
      <c r="AN36" s="1113"/>
      <c r="AO36" s="1113"/>
      <c r="AP36" s="1113"/>
      <c r="AQ36" s="1113"/>
      <c r="AR36" s="1113"/>
      <c r="AS36" s="1113"/>
      <c r="AT36" s="1113"/>
      <c r="AU36" s="1113"/>
      <c r="AV36" s="1113"/>
      <c r="AW36" s="1113"/>
      <c r="AX36" s="1113"/>
      <c r="AY36" s="1113"/>
      <c r="AZ36" s="1113"/>
      <c r="BA36" s="1113"/>
      <c r="BB36" s="1113"/>
      <c r="BC36" s="1113"/>
      <c r="BD36" s="1113"/>
      <c r="BE36" s="1113"/>
      <c r="BF36" s="1113"/>
      <c r="BG36" s="1114"/>
      <c r="DO36" s="210" t="s">
        <v>127</v>
      </c>
      <c r="DP36" s="149">
        <v>7.5130355559532429</v>
      </c>
      <c r="DR36" s="1">
        <v>71477</v>
      </c>
      <c r="DS36" s="1">
        <v>46180</v>
      </c>
      <c r="DT36" t="s">
        <v>127</v>
      </c>
      <c r="DX36" s="239">
        <f>'[15]2018. IV. - Állományi_R'!M59+'[15]2018. IV. - Állományi_R'!M19</f>
        <v>70417.31</v>
      </c>
      <c r="EA36" s="1"/>
    </row>
    <row r="37" spans="3:131" ht="15.75" thickBot="1" x14ac:dyDescent="0.3">
      <c r="C37" s="267"/>
      <c r="D37" t="s">
        <v>260</v>
      </c>
      <c r="E37" t="s">
        <v>164</v>
      </c>
      <c r="F37" s="203">
        <v>722613</v>
      </c>
      <c r="J37" s="38" t="s">
        <v>25</v>
      </c>
      <c r="K37" s="39">
        <v>383821</v>
      </c>
      <c r="L37" s="39">
        <v>389874</v>
      </c>
      <c r="M37" s="39">
        <v>415922</v>
      </c>
      <c r="N37" s="39">
        <v>422264</v>
      </c>
      <c r="O37" s="39">
        <v>392750</v>
      </c>
      <c r="P37" s="39">
        <v>383505</v>
      </c>
      <c r="Q37" s="39">
        <v>428513</v>
      </c>
      <c r="R37" s="39">
        <v>459966</v>
      </c>
      <c r="S37" s="39">
        <v>450392</v>
      </c>
      <c r="T37" s="39">
        <v>453423</v>
      </c>
      <c r="U37" s="272">
        <v>465184</v>
      </c>
      <c r="V37" s="39">
        <v>495972</v>
      </c>
      <c r="W37" s="39">
        <v>505143</v>
      </c>
      <c r="X37" s="39">
        <v>520449</v>
      </c>
      <c r="Y37" s="39">
        <v>510810</v>
      </c>
      <c r="Z37" s="273">
        <v>546466</v>
      </c>
      <c r="AA37" s="272">
        <v>544888</v>
      </c>
      <c r="AB37" s="272">
        <v>559144.64</v>
      </c>
      <c r="AC37" s="39">
        <v>530419</v>
      </c>
      <c r="AD37" s="39">
        <v>593244</v>
      </c>
      <c r="AE37" s="39">
        <v>616467</v>
      </c>
      <c r="AF37" s="39">
        <v>620729</v>
      </c>
      <c r="AG37" s="39"/>
      <c r="AH37" s="39"/>
      <c r="AI37" s="39"/>
      <c r="DO37" s="210" t="s">
        <v>129</v>
      </c>
      <c r="DP37" s="149">
        <v>7.2888483970943527</v>
      </c>
      <c r="DR37" s="1">
        <v>46180</v>
      </c>
      <c r="DS37" s="1">
        <v>44802</v>
      </c>
      <c r="DT37" t="s">
        <v>129</v>
      </c>
      <c r="DX37" s="239">
        <f>'[15]2018. IV. - Állományi_R'!M20+'[15]2018. IV. - Állományi_R'!M60</f>
        <v>14611</v>
      </c>
      <c r="EA37" s="1"/>
    </row>
    <row r="38" spans="3:131" ht="15.75" thickBot="1" x14ac:dyDescent="0.3">
      <c r="E38" t="s">
        <v>165</v>
      </c>
      <c r="F38" s="206">
        <v>510810</v>
      </c>
      <c r="G38" s="106"/>
      <c r="H38" s="106"/>
      <c r="I38" s="1"/>
      <c r="J38" s="56" t="s">
        <v>26</v>
      </c>
      <c r="K38" s="275">
        <v>825056</v>
      </c>
      <c r="L38" s="276">
        <v>848204</v>
      </c>
      <c r="M38" s="276">
        <v>924696</v>
      </c>
      <c r="N38" s="276">
        <v>985514</v>
      </c>
      <c r="O38" s="276">
        <v>997791</v>
      </c>
      <c r="P38" s="276">
        <v>1005984</v>
      </c>
      <c r="Q38" s="276">
        <v>1073238</v>
      </c>
      <c r="R38" s="276">
        <v>1070624</v>
      </c>
      <c r="S38" s="276">
        <v>1030760</v>
      </c>
      <c r="T38" s="276">
        <v>1072544</v>
      </c>
      <c r="U38" s="276">
        <v>1109892</v>
      </c>
      <c r="V38" s="276">
        <v>1163376</v>
      </c>
      <c r="W38" s="276">
        <v>1129593</v>
      </c>
      <c r="X38" s="276">
        <v>1205011</v>
      </c>
      <c r="Y38" s="276">
        <v>1233423</v>
      </c>
      <c r="Z38" s="277">
        <v>1292983</v>
      </c>
      <c r="AA38" s="278">
        <v>1273745</v>
      </c>
      <c r="AB38" s="278">
        <v>1292276.71</v>
      </c>
      <c r="AC38" s="276">
        <v>1306049</v>
      </c>
      <c r="AD38" s="276">
        <v>1405757</v>
      </c>
      <c r="AE38" s="276">
        <v>1431390</v>
      </c>
      <c r="AF38" s="276">
        <v>1435198</v>
      </c>
      <c r="AG38" s="276"/>
      <c r="AH38" s="276"/>
      <c r="AI38" s="276"/>
      <c r="AK38" s="33" t="s">
        <v>56</v>
      </c>
      <c r="AL38" s="171" t="s">
        <v>0</v>
      </c>
      <c r="AM38" s="94" t="s">
        <v>1</v>
      </c>
      <c r="AN38" s="94" t="s">
        <v>2</v>
      </c>
      <c r="AO38" s="94" t="s">
        <v>3</v>
      </c>
      <c r="AP38" s="94" t="s">
        <v>4</v>
      </c>
      <c r="AQ38" s="94" t="s">
        <v>5</v>
      </c>
      <c r="AR38" s="94" t="s">
        <v>6</v>
      </c>
      <c r="AS38" s="94" t="s">
        <v>7</v>
      </c>
      <c r="AT38" s="94" t="s">
        <v>27</v>
      </c>
      <c r="AU38" s="94" t="s">
        <v>9</v>
      </c>
      <c r="AV38" s="94" t="s">
        <v>10</v>
      </c>
      <c r="AW38" s="94" t="s">
        <v>11</v>
      </c>
      <c r="AX38" s="73" t="s">
        <v>12</v>
      </c>
      <c r="AY38" s="94" t="s">
        <v>13</v>
      </c>
      <c r="AZ38" s="94" t="s">
        <v>14</v>
      </c>
      <c r="BA38" s="73" t="s">
        <v>15</v>
      </c>
      <c r="BB38" s="75" t="s">
        <v>16</v>
      </c>
      <c r="BC38" s="94" t="s">
        <v>298</v>
      </c>
      <c r="BD38" s="94" t="s">
        <v>299</v>
      </c>
      <c r="BE38" s="94" t="s">
        <v>300</v>
      </c>
      <c r="BF38" s="94" t="s">
        <v>203</v>
      </c>
      <c r="BG38" s="97" t="s">
        <v>201</v>
      </c>
      <c r="DO38" s="210" t="s">
        <v>133</v>
      </c>
      <c r="DP38" s="149">
        <v>6.0520771477146091</v>
      </c>
      <c r="DR38" s="1">
        <v>22117</v>
      </c>
      <c r="DS38" s="1">
        <v>37200</v>
      </c>
      <c r="DT38" t="s">
        <v>133</v>
      </c>
      <c r="DX38" s="239">
        <f>'[15]2018. IV. - Állományi_R'!M21+'[15]2018. IV. - Állományi_R'!M61</f>
        <v>19918.5</v>
      </c>
      <c r="EA38" s="1"/>
    </row>
    <row r="39" spans="3:131" x14ac:dyDescent="0.25">
      <c r="E39" t="s">
        <v>177</v>
      </c>
      <c r="F39" s="72">
        <v>1233423</v>
      </c>
      <c r="K39" s="1"/>
      <c r="L39" s="1">
        <f>L38-K38</f>
        <v>23148</v>
      </c>
      <c r="M39" s="1">
        <f t="shared" ref="M39:AB39" si="34">M38-L38</f>
        <v>76492</v>
      </c>
      <c r="N39" s="1">
        <f t="shared" si="34"/>
        <v>60818</v>
      </c>
      <c r="O39" s="1">
        <f t="shared" si="34"/>
        <v>12277</v>
      </c>
      <c r="P39" s="1">
        <f t="shared" si="34"/>
        <v>8193</v>
      </c>
      <c r="Q39" s="1">
        <f t="shared" si="34"/>
        <v>67254</v>
      </c>
      <c r="R39" s="1">
        <f t="shared" si="34"/>
        <v>-2614</v>
      </c>
      <c r="S39" s="1">
        <f t="shared" si="34"/>
        <v>-39864</v>
      </c>
      <c r="T39" s="1">
        <f t="shared" si="34"/>
        <v>41784</v>
      </c>
      <c r="U39" s="1">
        <f t="shared" si="34"/>
        <v>37348</v>
      </c>
      <c r="V39" s="1">
        <f t="shared" si="34"/>
        <v>53484</v>
      </c>
      <c r="W39" s="1">
        <f t="shared" si="34"/>
        <v>-33783</v>
      </c>
      <c r="X39" s="1">
        <f t="shared" si="34"/>
        <v>75418</v>
      </c>
      <c r="Y39" s="1">
        <f t="shared" si="34"/>
        <v>28412</v>
      </c>
      <c r="Z39" s="1">
        <f t="shared" si="34"/>
        <v>59560</v>
      </c>
      <c r="AA39" s="1">
        <f t="shared" si="34"/>
        <v>-19238</v>
      </c>
      <c r="AB39" s="1">
        <f t="shared" si="34"/>
        <v>18531.709999999963</v>
      </c>
      <c r="AC39" s="1">
        <f>AC38-AB38</f>
        <v>13772.290000000037</v>
      </c>
      <c r="AD39" s="1">
        <f>AD38-AC38</f>
        <v>99708</v>
      </c>
      <c r="AE39" s="1">
        <f>AE38-AD38</f>
        <v>25633</v>
      </c>
      <c r="AF39" s="1"/>
      <c r="AG39" s="1"/>
      <c r="AH39" s="1"/>
      <c r="AI39" s="1"/>
      <c r="AK39" s="279" t="s">
        <v>34</v>
      </c>
      <c r="AL39" s="70">
        <v>52888</v>
      </c>
      <c r="AM39" s="63">
        <v>56562</v>
      </c>
      <c r="AN39" s="63">
        <v>80131</v>
      </c>
      <c r="AO39" s="63">
        <v>171628</v>
      </c>
      <c r="AP39" s="63">
        <v>203857</v>
      </c>
      <c r="AQ39" s="63">
        <v>215221</v>
      </c>
      <c r="AR39" s="63">
        <v>218622</v>
      </c>
      <c r="AS39" s="63">
        <v>208454</v>
      </c>
      <c r="AT39" s="63">
        <v>207268</v>
      </c>
      <c r="AU39" s="63">
        <f>'[15]2018. I. - Állományi_Új'!B14+'[15]2018. I. - Állományi_Új'!H14</f>
        <v>228722</v>
      </c>
      <c r="AV39" s="64">
        <f>'[15]2018. II. - Állományi_Új'!B14+'[15]2018. II. - Állományi_Új'!H14</f>
        <v>231635</v>
      </c>
      <c r="AW39" s="64">
        <f>'[15]2018. III. - Állományi_Új'!B14+'[15]2018. III. - Állományi_Új'!H14</f>
        <v>232901</v>
      </c>
      <c r="AX39" s="64">
        <f>'[15]2018. IV. - Állományi_Új'!B14+'[15]2018. IV. - Állományi_Új'!H14</f>
        <v>198541</v>
      </c>
      <c r="AY39" s="80">
        <v>224917</v>
      </c>
      <c r="AZ39" s="80">
        <v>237159</v>
      </c>
      <c r="BA39" s="64">
        <v>244600</v>
      </c>
      <c r="BB39" s="64">
        <v>189642</v>
      </c>
      <c r="BC39" s="63">
        <f>'[15]2020. I. Állomány adatok'!B18+'[15]2020. I. Állomány adatok'!J18</f>
        <v>236376</v>
      </c>
      <c r="BD39" s="63">
        <f>'[15]2020. II. Állományi adatok'!B18+'[15]2020. II. Állományi adatok'!J18</f>
        <v>248606</v>
      </c>
      <c r="BE39" s="63">
        <f>'[15]2020. III. Állományi adatok'!B18+'[15]2020. III. Állományi adatok'!J18</f>
        <v>251656</v>
      </c>
      <c r="BF39" s="5">
        <f>'[15]2020. IV. Állományi adatok'!B18+'[15]2020. IV. Állományi adatok'!J18</f>
        <v>251964</v>
      </c>
      <c r="BG39" s="98">
        <v>252057</v>
      </c>
      <c r="DO39" s="210" t="s">
        <v>301</v>
      </c>
      <c r="DP39" s="149">
        <v>4.8507723719424405</v>
      </c>
      <c r="DR39" s="1">
        <v>44802</v>
      </c>
      <c r="DS39" s="1">
        <v>29816</v>
      </c>
      <c r="DT39" t="s">
        <v>301</v>
      </c>
      <c r="DX39" s="239">
        <f>'[15]2018. IV. - Állományi_R'!M22+'[15]2018. IV. - Állományi_R'!M62</f>
        <v>40868.400000000001</v>
      </c>
      <c r="EA39" s="1"/>
    </row>
    <row r="40" spans="3:131" ht="15.75" thickBot="1" x14ac:dyDescent="0.3">
      <c r="Z40" s="27"/>
      <c r="AB40" s="32"/>
      <c r="AD40" s="1">
        <f>AD39/18</f>
        <v>5539.333333333333</v>
      </c>
      <c r="AE40" s="1"/>
      <c r="AF40" s="1"/>
      <c r="AG40" s="1"/>
      <c r="AH40" s="1"/>
      <c r="AI40" s="1"/>
      <c r="AK40" s="66" t="s">
        <v>35</v>
      </c>
      <c r="AL40" s="71">
        <v>130330</v>
      </c>
      <c r="AM40" s="78">
        <v>127798</v>
      </c>
      <c r="AN40" s="78">
        <v>125184</v>
      </c>
      <c r="AO40" s="78">
        <v>120775</v>
      </c>
      <c r="AP40" s="78">
        <v>115174</v>
      </c>
      <c r="AQ40" s="78">
        <v>114843</v>
      </c>
      <c r="AR40" s="78">
        <v>118190</v>
      </c>
      <c r="AS40" s="78">
        <v>115708</v>
      </c>
      <c r="AT40" s="78">
        <v>103112</v>
      </c>
      <c r="AU40" s="78">
        <f>'[15]2018. I. - Állományi_Új'!B54+'[15]2018. I. - Állományi_Új'!H54</f>
        <v>120399</v>
      </c>
      <c r="AV40" s="281">
        <f>'[15]2018. II. - Állományi_Új'!B54+'[15]2018. II. - Állományi_Új'!H54</f>
        <v>127700</v>
      </c>
      <c r="AW40" s="281">
        <f>'[15]2018. III. - Állományi_Új'!B54+'[15]2018. III. - Állományi_Új'!H54</f>
        <v>128483</v>
      </c>
      <c r="AX40" s="281">
        <f>'[15]2018. IV. - Állományi_Új'!B54+'[15]2018. IV. - Állományi_Új'!H54</f>
        <v>107367</v>
      </c>
      <c r="AY40" s="282">
        <v>145581</v>
      </c>
      <c r="AZ40" s="282">
        <v>156625</v>
      </c>
      <c r="BA40" s="283">
        <v>170555</v>
      </c>
      <c r="BB40" s="283">
        <v>152369</v>
      </c>
      <c r="BC40" s="282">
        <f>'[15]2020. I. Állomány adatok'!B65+'[15]2020. I. Állomány adatok'!J65</f>
        <v>176069</v>
      </c>
      <c r="BD40" s="282">
        <f>'[15]2020. II. Állományi adatok'!B65+'[15]2020. II. Állományi adatok'!J65</f>
        <v>188826</v>
      </c>
      <c r="BE40" s="282">
        <f>'[15]2020. III. Állományi adatok'!B65+'[15]2020. III. Állományi adatok'!J65</f>
        <v>192120</v>
      </c>
      <c r="BF40" s="284">
        <f>'[15]2020. IV. Állományi adatok'!B65+'[15]2020. IV. Állományi adatok'!J65</f>
        <v>207387</v>
      </c>
      <c r="BG40" s="285">
        <v>206724</v>
      </c>
      <c r="DO40" s="210" t="s">
        <v>128</v>
      </c>
      <c r="DP40" s="149">
        <v>3.5982201687097848</v>
      </c>
      <c r="DR40" s="1">
        <v>20298</v>
      </c>
      <c r="DS40" s="1">
        <v>22117</v>
      </c>
      <c r="DT40" t="s">
        <v>128</v>
      </c>
      <c r="DX40" s="239">
        <f>'[15]2018. IV. - Állományi_R'!M23+'[15]2018. IV. - Állományi_R'!M63</f>
        <v>16935.66</v>
      </c>
      <c r="EA40" s="1"/>
    </row>
    <row r="41" spans="3:131" x14ac:dyDescent="0.25">
      <c r="AK41" s="286" t="s">
        <v>302</v>
      </c>
      <c r="AL41" s="287">
        <f>AL39/AL43*100</f>
        <v>28.86615943848312</v>
      </c>
      <c r="AM41" s="220">
        <f t="shared" ref="AM41:BG41" si="35">AM39/AM43*100</f>
        <v>30.680190930787589</v>
      </c>
      <c r="AN41" s="220">
        <f t="shared" si="35"/>
        <v>39.028322333974621</v>
      </c>
      <c r="AO41" s="220">
        <f t="shared" si="35"/>
        <v>58.695704216441001</v>
      </c>
      <c r="AP41" s="220">
        <f t="shared" si="35"/>
        <v>63.898806072137191</v>
      </c>
      <c r="AQ41" s="220">
        <f t="shared" si="35"/>
        <v>65.205838867613551</v>
      </c>
      <c r="AR41" s="220">
        <f t="shared" si="35"/>
        <v>64.90920751042124</v>
      </c>
      <c r="AS41" s="220">
        <f t="shared" si="35"/>
        <v>64.305501570202551</v>
      </c>
      <c r="AT41" s="220">
        <f t="shared" si="35"/>
        <v>66.778787292995673</v>
      </c>
      <c r="AU41" s="220">
        <f t="shared" si="35"/>
        <v>65.513675774301745</v>
      </c>
      <c r="AV41" s="220">
        <f t="shared" si="35"/>
        <v>64.462131437238241</v>
      </c>
      <c r="AW41" s="288">
        <f t="shared" si="35"/>
        <v>64.44695946693821</v>
      </c>
      <c r="AX41" s="288">
        <f t="shared" si="35"/>
        <v>64.902192816140797</v>
      </c>
      <c r="AY41" s="220">
        <f t="shared" si="35"/>
        <v>60.70667048135212</v>
      </c>
      <c r="AZ41" s="220">
        <f t="shared" si="35"/>
        <v>60.225656705198794</v>
      </c>
      <c r="BA41" s="288">
        <f t="shared" si="35"/>
        <v>58.917753610097435</v>
      </c>
      <c r="BB41" s="288">
        <f t="shared" si="35"/>
        <v>55.449093742598919</v>
      </c>
      <c r="BC41" s="220">
        <f t="shared" si="35"/>
        <v>57.310914182497065</v>
      </c>
      <c r="BD41" s="289">
        <f t="shared" si="35"/>
        <v>56.833062053073391</v>
      </c>
      <c r="BE41" s="289">
        <f t="shared" si="35"/>
        <v>56.70788866455149</v>
      </c>
      <c r="BF41" s="289">
        <f t="shared" si="35"/>
        <v>54.852171868571098</v>
      </c>
      <c r="BG41" s="289">
        <f t="shared" si="35"/>
        <v>54.940592570311317</v>
      </c>
      <c r="DO41" s="210" t="s">
        <v>130</v>
      </c>
      <c r="DP41" s="149">
        <v>3.3022866114062133</v>
      </c>
      <c r="DR41" s="1">
        <v>12912</v>
      </c>
      <c r="DS41" s="1">
        <v>20298</v>
      </c>
      <c r="DT41" t="s">
        <v>130</v>
      </c>
      <c r="DX41" s="239">
        <f>'[15]2018. IV. - Állományi_R'!M24+'[15]2018. IV. - Állományi_R'!M64</f>
        <v>13973</v>
      </c>
      <c r="EA41" s="1"/>
    </row>
    <row r="42" spans="3:131" ht="15.75" thickBot="1" x14ac:dyDescent="0.3">
      <c r="AD42" s="32">
        <f>AD40/AC29*100</f>
        <v>0.42412905896588354</v>
      </c>
      <c r="AE42" s="32"/>
      <c r="AF42" s="86">
        <v>1435.1980000000001</v>
      </c>
      <c r="AG42" s="86">
        <v>362.28800000000001</v>
      </c>
      <c r="AH42" s="86">
        <v>452.18099999999998</v>
      </c>
      <c r="AI42" s="32"/>
      <c r="AK42" s="290" t="s">
        <v>303</v>
      </c>
      <c r="AL42" s="291">
        <f>AL40/AL43*100</f>
        <v>71.133840561516877</v>
      </c>
      <c r="AM42" s="292">
        <f t="shared" ref="AM42:BG42" si="36">AM40/AM43*100</f>
        <v>69.319809069212411</v>
      </c>
      <c r="AN42" s="292">
        <f t="shared" si="36"/>
        <v>60.971677666025379</v>
      </c>
      <c r="AO42" s="292">
        <f t="shared" si="36"/>
        <v>41.304295783558992</v>
      </c>
      <c r="AP42" s="292">
        <f t="shared" si="36"/>
        <v>36.101193927862809</v>
      </c>
      <c r="AQ42" s="292">
        <f t="shared" si="36"/>
        <v>34.794161132386449</v>
      </c>
      <c r="AR42" s="292">
        <f t="shared" si="36"/>
        <v>35.090792489578753</v>
      </c>
      <c r="AS42" s="292">
        <f t="shared" si="36"/>
        <v>35.694498429797441</v>
      </c>
      <c r="AT42" s="292">
        <f t="shared" si="36"/>
        <v>33.221212707004319</v>
      </c>
      <c r="AU42" s="292">
        <f t="shared" si="36"/>
        <v>34.486324225698255</v>
      </c>
      <c r="AV42" s="292">
        <f t="shared" si="36"/>
        <v>35.537868562761773</v>
      </c>
      <c r="AW42" s="293">
        <f t="shared" si="36"/>
        <v>35.55304053306179</v>
      </c>
      <c r="AX42" s="293">
        <f t="shared" si="36"/>
        <v>35.097807183859196</v>
      </c>
      <c r="AY42" s="292">
        <f t="shared" si="36"/>
        <v>39.293329518647873</v>
      </c>
      <c r="AZ42" s="292">
        <f t="shared" si="36"/>
        <v>39.774343294801213</v>
      </c>
      <c r="BA42" s="293">
        <f t="shared" si="36"/>
        <v>41.082246389902565</v>
      </c>
      <c r="BB42" s="293">
        <f t="shared" si="36"/>
        <v>44.550906257401081</v>
      </c>
      <c r="BC42" s="292">
        <f t="shared" si="36"/>
        <v>42.689085817502942</v>
      </c>
      <c r="BD42" s="292">
        <f t="shared" si="36"/>
        <v>43.166937946926609</v>
      </c>
      <c r="BE42" s="292">
        <f t="shared" si="36"/>
        <v>43.29211133544851</v>
      </c>
      <c r="BF42" s="292">
        <f t="shared" si="36"/>
        <v>45.147828131428909</v>
      </c>
      <c r="BG42" s="292">
        <f t="shared" si="36"/>
        <v>45.059407429688676</v>
      </c>
      <c r="DO42" s="210" t="s">
        <v>124</v>
      </c>
      <c r="DP42" s="149">
        <v>2.213726176047115</v>
      </c>
      <c r="DR42" s="1">
        <v>4739</v>
      </c>
      <c r="DS42" s="1">
        <v>13607</v>
      </c>
      <c r="DT42" t="s">
        <v>124</v>
      </c>
      <c r="DX42" s="239">
        <f>'[15]2018. IV. - Állományi_R'!M25+'[15]2018. IV. - Állományi_R'!M65</f>
        <v>4794</v>
      </c>
      <c r="EA42" s="1"/>
    </row>
    <row r="43" spans="3:131" ht="19.5" thickBot="1" x14ac:dyDescent="0.3">
      <c r="Y43" s="1"/>
      <c r="AF43" s="86">
        <v>814.46900000000005</v>
      </c>
      <c r="AG43" s="86">
        <v>6.0640000000000001</v>
      </c>
      <c r="AH43" s="86">
        <v>614.66499999999996</v>
      </c>
      <c r="AK43" s="294" t="s">
        <v>304</v>
      </c>
      <c r="AL43" s="295">
        <f t="shared" ref="AL43:BC43" si="37">AL39+AL40</f>
        <v>183218</v>
      </c>
      <c r="AM43" s="296">
        <f t="shared" si="37"/>
        <v>184360</v>
      </c>
      <c r="AN43" s="296">
        <f t="shared" si="37"/>
        <v>205315</v>
      </c>
      <c r="AO43" s="296">
        <f t="shared" si="37"/>
        <v>292403</v>
      </c>
      <c r="AP43" s="296">
        <f t="shared" si="37"/>
        <v>319031</v>
      </c>
      <c r="AQ43" s="296">
        <f t="shared" si="37"/>
        <v>330064</v>
      </c>
      <c r="AR43" s="296">
        <f t="shared" si="37"/>
        <v>336812</v>
      </c>
      <c r="AS43" s="296">
        <f t="shared" si="37"/>
        <v>324162</v>
      </c>
      <c r="AT43" s="296">
        <f t="shared" si="37"/>
        <v>310380</v>
      </c>
      <c r="AU43" s="296">
        <f t="shared" si="37"/>
        <v>349121</v>
      </c>
      <c r="AV43" s="296">
        <f t="shared" si="37"/>
        <v>359335</v>
      </c>
      <c r="AW43" s="297">
        <f t="shared" si="37"/>
        <v>361384</v>
      </c>
      <c r="AX43" s="297">
        <f t="shared" si="37"/>
        <v>305908</v>
      </c>
      <c r="AY43" s="296">
        <f t="shared" si="37"/>
        <v>370498</v>
      </c>
      <c r="AZ43" s="296">
        <f t="shared" si="37"/>
        <v>393784</v>
      </c>
      <c r="BA43" s="297">
        <f t="shared" si="37"/>
        <v>415155</v>
      </c>
      <c r="BB43" s="297">
        <f t="shared" si="37"/>
        <v>342011</v>
      </c>
      <c r="BC43" s="296">
        <f t="shared" si="37"/>
        <v>412445</v>
      </c>
      <c r="BD43" s="296">
        <f>BD39+BD40</f>
        <v>437432</v>
      </c>
      <c r="BE43" s="296">
        <f>BE39+BE40</f>
        <v>443776</v>
      </c>
      <c r="BF43" s="296">
        <f>BF39+BF40</f>
        <v>459351</v>
      </c>
      <c r="BG43" s="296">
        <v>458781</v>
      </c>
      <c r="CG43" s="274"/>
      <c r="DO43" s="210" t="s">
        <v>131</v>
      </c>
      <c r="DP43" s="149">
        <v>2.1006564551422318</v>
      </c>
      <c r="DR43" s="1">
        <v>37200</v>
      </c>
      <c r="DS43" s="1">
        <v>12912</v>
      </c>
      <c r="DT43" t="s">
        <v>131</v>
      </c>
      <c r="DX43" s="239">
        <f>'[15]2018. IV. - Állományi_R'!M26+'[15]2018. IV. - Állományi_R'!M66</f>
        <v>19202.7</v>
      </c>
      <c r="EA43" s="1"/>
    </row>
    <row r="44" spans="3:131" x14ac:dyDescent="0.25">
      <c r="C44" s="1102" t="s">
        <v>305</v>
      </c>
      <c r="D44" s="1102"/>
      <c r="E44" s="1102"/>
      <c r="F44" s="1102"/>
      <c r="G44" s="1102"/>
      <c r="H44" s="168"/>
      <c r="Y44" s="1"/>
      <c r="AF44" s="86">
        <v>620.72900000000004</v>
      </c>
      <c r="AK44" s="298" t="s">
        <v>306</v>
      </c>
      <c r="AL44" s="245">
        <f t="shared" ref="AL44:BG44" si="38">AL43/AL45*100</f>
        <v>41.523810387185087</v>
      </c>
      <c r="AM44" s="245">
        <f t="shared" si="38"/>
        <v>40.224292540309385</v>
      </c>
      <c r="AN44" s="245">
        <f t="shared" si="38"/>
        <v>40.354853038873841</v>
      </c>
      <c r="AO44" s="245">
        <f t="shared" si="38"/>
        <v>51.913537505548156</v>
      </c>
      <c r="AP44" s="245">
        <f t="shared" si="38"/>
        <v>52.728910485257174</v>
      </c>
      <c r="AQ44" s="245">
        <f t="shared" si="38"/>
        <v>53.024032900655435</v>
      </c>
      <c r="AR44" s="245">
        <f t="shared" si="38"/>
        <v>52.241269132217816</v>
      </c>
      <c r="AS44" s="245">
        <f t="shared" si="38"/>
        <v>53.083963390370073</v>
      </c>
      <c r="AT44" s="245">
        <f t="shared" si="38"/>
        <v>53.479861053676295</v>
      </c>
      <c r="AU44" s="245">
        <f t="shared" si="38"/>
        <v>56.389784872423967</v>
      </c>
      <c r="AV44" s="245">
        <f t="shared" si="38"/>
        <v>55.736085173442859</v>
      </c>
      <c r="AW44" s="219">
        <f t="shared" si="38"/>
        <v>54.147712629831403</v>
      </c>
      <c r="AX44" s="219">
        <f t="shared" si="38"/>
        <v>48.988389783009048</v>
      </c>
      <c r="AY44" s="220">
        <f t="shared" si="38"/>
        <v>54.121905685679309</v>
      </c>
      <c r="AZ44" s="220">
        <f t="shared" si="38"/>
        <v>54.49445277070852</v>
      </c>
      <c r="BA44" s="288">
        <f t="shared" si="38"/>
        <v>55.612263351002056</v>
      </c>
      <c r="BB44" s="288">
        <f t="shared" si="38"/>
        <v>46.924293791511914</v>
      </c>
      <c r="BC44" s="220">
        <f t="shared" si="38"/>
        <v>56.257939991630714</v>
      </c>
      <c r="BD44" s="220">
        <f t="shared" si="38"/>
        <v>56.397066123107834</v>
      </c>
      <c r="BE44" s="220">
        <f t="shared" si="38"/>
        <v>54.617643511373338</v>
      </c>
      <c r="BF44" s="220">
        <f t="shared" si="38"/>
        <v>56.367411399604627</v>
      </c>
      <c r="BG44" s="220">
        <f t="shared" si="38"/>
        <v>56.328847384001115</v>
      </c>
      <c r="DO44" s="210" t="s">
        <v>132</v>
      </c>
      <c r="DP44" s="149">
        <v>0.7709890753499874</v>
      </c>
      <c r="DR44" s="1">
        <v>4498</v>
      </c>
      <c r="DS44" s="1">
        <v>4739</v>
      </c>
      <c r="DT44" t="s">
        <v>132</v>
      </c>
      <c r="DX44" s="239">
        <f>'[15]2018. IV. - Állományi_R'!M27+'[15]2018. IV. - Állományi_R'!M67</f>
        <v>2767</v>
      </c>
      <c r="EA44" s="1"/>
    </row>
    <row r="45" spans="3:131" ht="15.75" thickBot="1" x14ac:dyDescent="0.3">
      <c r="C45" s="299"/>
      <c r="D45" s="299"/>
      <c r="E45" s="299"/>
      <c r="F45" s="299"/>
      <c r="G45" s="299"/>
      <c r="H45" s="168"/>
      <c r="AK45" s="300" t="s">
        <v>36</v>
      </c>
      <c r="AL45" s="301">
        <v>441236</v>
      </c>
      <c r="AM45" s="302">
        <v>458330</v>
      </c>
      <c r="AN45" s="302">
        <v>508774</v>
      </c>
      <c r="AO45" s="302">
        <v>563250</v>
      </c>
      <c r="AP45" s="302">
        <v>605040</v>
      </c>
      <c r="AQ45" s="302">
        <v>622480</v>
      </c>
      <c r="AR45" s="302">
        <v>644724</v>
      </c>
      <c r="AS45" s="302">
        <v>610659</v>
      </c>
      <c r="AT45" s="302">
        <v>580368</v>
      </c>
      <c r="AU45" s="302">
        <v>619121</v>
      </c>
      <c r="AV45" s="302">
        <v>644708</v>
      </c>
      <c r="AW45" s="303">
        <v>667404</v>
      </c>
      <c r="AX45" s="303">
        <v>624450</v>
      </c>
      <c r="AY45" s="304">
        <v>684562</v>
      </c>
      <c r="AZ45" s="304">
        <v>722613</v>
      </c>
      <c r="BA45" s="305">
        <v>746517</v>
      </c>
      <c r="BB45" s="305">
        <v>728857</v>
      </c>
      <c r="BC45" s="304">
        <v>733132.07</v>
      </c>
      <c r="BD45" s="304">
        <v>775629</v>
      </c>
      <c r="BE45" s="304">
        <v>812514</v>
      </c>
      <c r="BF45" s="304">
        <v>814923</v>
      </c>
      <c r="BG45" s="306">
        <v>814469</v>
      </c>
      <c r="DO45" s="240" t="s">
        <v>134</v>
      </c>
      <c r="DP45" s="307">
        <v>0.73178072608656741</v>
      </c>
      <c r="DR45" s="1">
        <v>29816</v>
      </c>
      <c r="DS45" s="1">
        <v>4498</v>
      </c>
      <c r="DT45" t="s">
        <v>134</v>
      </c>
      <c r="DX45" s="239"/>
      <c r="EA45" s="1"/>
    </row>
    <row r="46" spans="3:131" ht="15.75" thickBot="1" x14ac:dyDescent="0.3">
      <c r="F46" s="1"/>
      <c r="AK46" s="25" t="s">
        <v>307</v>
      </c>
      <c r="AL46" s="308">
        <v>0</v>
      </c>
      <c r="AM46" s="309">
        <f t="shared" ref="AM46:AX46" si="39">AM43/AL43*100-100</f>
        <v>0.62330120403018441</v>
      </c>
      <c r="AN46" s="309">
        <f t="shared" si="39"/>
        <v>11.366348448687361</v>
      </c>
      <c r="AO46" s="309">
        <f t="shared" si="39"/>
        <v>42.416774224971391</v>
      </c>
      <c r="AP46" s="309">
        <f t="shared" si="39"/>
        <v>9.1066097133066393</v>
      </c>
      <c r="AQ46" s="309">
        <f t="shared" si="39"/>
        <v>3.4582846181092179</v>
      </c>
      <c r="AR46" s="309">
        <f t="shared" si="39"/>
        <v>2.0444519850695713</v>
      </c>
      <c r="AS46" s="309">
        <f t="shared" si="39"/>
        <v>-3.7558044250204858</v>
      </c>
      <c r="AT46" s="309">
        <f t="shared" si="39"/>
        <v>-4.2515779147463348</v>
      </c>
      <c r="AU46" s="309">
        <f t="shared" si="39"/>
        <v>12.481796507506942</v>
      </c>
      <c r="AV46" s="309">
        <f t="shared" si="39"/>
        <v>2.9256332331770238</v>
      </c>
      <c r="AW46" s="310">
        <f t="shared" si="39"/>
        <v>0.57021998970319032</v>
      </c>
      <c r="AX46" s="310">
        <f t="shared" si="39"/>
        <v>-15.35098399486418</v>
      </c>
      <c r="AY46" s="309">
        <f>AY43/AW43*100-100</f>
        <v>2.5219710889248006</v>
      </c>
      <c r="AZ46" s="309">
        <f t="shared" ref="AZ46:BG46" si="40">AZ43/AY43*100-100</f>
        <v>6.2850541703328986</v>
      </c>
      <c r="BA46" s="310">
        <f t="shared" si="40"/>
        <v>5.4270869309062846</v>
      </c>
      <c r="BB46" s="310">
        <f t="shared" si="40"/>
        <v>-17.618479844877214</v>
      </c>
      <c r="BC46" s="309">
        <f t="shared" si="40"/>
        <v>20.594074459593401</v>
      </c>
      <c r="BD46" s="309">
        <f t="shared" si="40"/>
        <v>6.058262313763052</v>
      </c>
      <c r="BE46" s="309">
        <f t="shared" si="40"/>
        <v>1.450282558203341</v>
      </c>
      <c r="BF46" s="309">
        <f t="shared" si="40"/>
        <v>3.5096535188924065</v>
      </c>
      <c r="BG46" s="309">
        <f t="shared" si="40"/>
        <v>-0.12408811562400501</v>
      </c>
      <c r="DO46" s="240" t="s">
        <v>125</v>
      </c>
      <c r="DP46" s="311">
        <v>0.52646563575280847</v>
      </c>
      <c r="DR46" s="1">
        <v>185135</v>
      </c>
      <c r="DS46" s="1">
        <v>3236</v>
      </c>
      <c r="DT46" t="s">
        <v>125</v>
      </c>
      <c r="DX46" s="312">
        <f>'[15]2018. IV. - Állományi_R'!M28+'[15]2018. IV. - Állományi_R'!M68</f>
        <v>184396.31</v>
      </c>
      <c r="EA46" s="1"/>
    </row>
    <row r="47" spans="3:131" ht="45.75" thickBot="1" x14ac:dyDescent="0.3">
      <c r="C47" s="313" t="s">
        <v>116</v>
      </c>
      <c r="D47" s="314" t="s">
        <v>308</v>
      </c>
      <c r="E47" s="315" t="s">
        <v>309</v>
      </c>
      <c r="F47" s="316" t="s">
        <v>310</v>
      </c>
      <c r="G47" s="317" t="s">
        <v>311</v>
      </c>
      <c r="AK47" s="15" t="s">
        <v>312</v>
      </c>
      <c r="AL47" s="215">
        <f t="shared" ref="AL47:BG47" si="41">AL39/AL45*100</f>
        <v>11.986329311298261</v>
      </c>
      <c r="AM47" s="215">
        <f t="shared" si="41"/>
        <v>12.340889751925468</v>
      </c>
      <c r="AN47" s="215">
        <f t="shared" si="41"/>
        <v>15.749822121413438</v>
      </c>
      <c r="AO47" s="215">
        <f t="shared" si="41"/>
        <v>30.471016422547713</v>
      </c>
      <c r="AP47" s="215">
        <f t="shared" si="41"/>
        <v>33.693144254925294</v>
      </c>
      <c r="AQ47" s="215">
        <f t="shared" si="41"/>
        <v>34.574765454311787</v>
      </c>
      <c r="AR47" s="215">
        <f t="shared" si="41"/>
        <v>33.909393787108904</v>
      </c>
      <c r="AS47" s="215">
        <f t="shared" si="41"/>
        <v>34.135908911520183</v>
      </c>
      <c r="AT47" s="215">
        <f t="shared" si="41"/>
        <v>35.71320265762413</v>
      </c>
      <c r="AU47" s="215">
        <f t="shared" si="41"/>
        <v>36.943020831146093</v>
      </c>
      <c r="AV47" s="215">
        <f t="shared" si="41"/>
        <v>35.928668482475793</v>
      </c>
      <c r="AW47" s="57">
        <f t="shared" si="41"/>
        <v>34.896554410821629</v>
      </c>
      <c r="AX47" s="57">
        <f t="shared" si="41"/>
        <v>31.794539194491151</v>
      </c>
      <c r="AY47" s="14">
        <f t="shared" si="41"/>
        <v>32.855606942833518</v>
      </c>
      <c r="AZ47" s="14">
        <f t="shared" si="41"/>
        <v>32.81964204906361</v>
      </c>
      <c r="BA47" s="29">
        <f t="shared" si="41"/>
        <v>32.765496298141905</v>
      </c>
      <c r="BB47" s="29">
        <f t="shared" si="41"/>
        <v>26.019095652507968</v>
      </c>
      <c r="BC47" s="14">
        <f t="shared" si="41"/>
        <v>32.241939709444168</v>
      </c>
      <c r="BD47" s="14">
        <f t="shared" si="41"/>
        <v>32.052179585858703</v>
      </c>
      <c r="BE47" s="14">
        <f t="shared" si="41"/>
        <v>30.972512473631227</v>
      </c>
      <c r="BF47" s="14">
        <f t="shared" si="41"/>
        <v>30.918749378775662</v>
      </c>
      <c r="BG47" s="14">
        <f t="shared" si="41"/>
        <v>30.947402540796521</v>
      </c>
      <c r="DO47" s="259" t="s">
        <v>288</v>
      </c>
      <c r="DP47" s="251">
        <v>614665</v>
      </c>
      <c r="DR47" s="318"/>
      <c r="DS47" s="1"/>
      <c r="DX47" s="1"/>
      <c r="EA47" s="1"/>
    </row>
    <row r="48" spans="3:131" ht="19.5" thickBot="1" x14ac:dyDescent="0.35">
      <c r="C48" s="319" t="s">
        <v>110</v>
      </c>
      <c r="D48" s="320">
        <f>F48/F55*100</f>
        <v>53.85939903163446</v>
      </c>
      <c r="E48" s="80">
        <v>337487</v>
      </c>
      <c r="F48" s="80">
        <v>392558</v>
      </c>
      <c r="G48" s="321">
        <f t="shared" ref="G48:G55" si="42">F48/E48*100-100</f>
        <v>16.317961877050081</v>
      </c>
      <c r="AK48" s="15" t="s">
        <v>313</v>
      </c>
      <c r="AL48" s="215">
        <f t="shared" ref="AL48:BG48" si="43">AL40/AL45*100</f>
        <v>29.537481075886831</v>
      </c>
      <c r="AM48" s="215">
        <f t="shared" si="43"/>
        <v>27.883402788383915</v>
      </c>
      <c r="AN48" s="215">
        <f t="shared" si="43"/>
        <v>24.605030917460404</v>
      </c>
      <c r="AO48" s="215">
        <f t="shared" si="43"/>
        <v>21.442521083000443</v>
      </c>
      <c r="AP48" s="215">
        <f t="shared" si="43"/>
        <v>19.03576623033188</v>
      </c>
      <c r="AQ48" s="215">
        <f t="shared" si="43"/>
        <v>18.449267446343658</v>
      </c>
      <c r="AR48" s="215">
        <f t="shared" si="43"/>
        <v>18.331875345108912</v>
      </c>
      <c r="AS48" s="215">
        <f t="shared" si="43"/>
        <v>18.948054478849897</v>
      </c>
      <c r="AT48" s="215">
        <f t="shared" si="43"/>
        <v>17.766658396052158</v>
      </c>
      <c r="AU48" s="215">
        <f t="shared" si="43"/>
        <v>19.446764041277874</v>
      </c>
      <c r="AV48" s="215">
        <f t="shared" si="43"/>
        <v>19.807416690967074</v>
      </c>
      <c r="AW48" s="57">
        <f t="shared" si="43"/>
        <v>19.251158219009774</v>
      </c>
      <c r="AX48" s="57">
        <f t="shared" si="43"/>
        <v>17.193850588517893</v>
      </c>
      <c r="AY48" s="14">
        <f t="shared" si="43"/>
        <v>21.266298742845791</v>
      </c>
      <c r="AZ48" s="14">
        <f t="shared" si="43"/>
        <v>21.674810721644917</v>
      </c>
      <c r="BA48" s="29">
        <f t="shared" si="43"/>
        <v>22.846767052860148</v>
      </c>
      <c r="BB48" s="29">
        <f t="shared" si="43"/>
        <v>20.905198139003947</v>
      </c>
      <c r="BC48" s="14">
        <f t="shared" si="43"/>
        <v>24.016000282186539</v>
      </c>
      <c r="BD48" s="14">
        <f t="shared" si="43"/>
        <v>24.344886537249121</v>
      </c>
      <c r="BE48" s="14">
        <f t="shared" si="43"/>
        <v>23.645131037742118</v>
      </c>
      <c r="BF48" s="14">
        <f t="shared" si="43"/>
        <v>25.448662020828962</v>
      </c>
      <c r="BG48" s="14">
        <f t="shared" si="43"/>
        <v>25.381444843204591</v>
      </c>
      <c r="BI48" s="1100" t="s">
        <v>314</v>
      </c>
      <c r="BJ48" s="1101"/>
      <c r="BK48" s="1101"/>
      <c r="BL48" s="1101"/>
      <c r="BM48" s="1101"/>
      <c r="BN48" s="1101"/>
      <c r="BO48" s="1101"/>
      <c r="BP48" s="1101"/>
      <c r="BQ48" s="1101"/>
      <c r="BR48" s="1101"/>
      <c r="BS48" s="1101"/>
      <c r="BT48" s="1101"/>
      <c r="BU48" s="1101"/>
      <c r="BV48" s="1101"/>
      <c r="BW48" s="1101"/>
      <c r="BX48" s="1101"/>
      <c r="BY48" s="1101"/>
      <c r="BZ48" s="1101"/>
      <c r="CA48" s="1101"/>
      <c r="CB48" s="1101"/>
      <c r="CC48" s="1101"/>
      <c r="CD48" s="1101"/>
      <c r="CE48" s="1101"/>
    </row>
    <row r="49" spans="3:127" ht="15.75" thickBot="1" x14ac:dyDescent="0.3">
      <c r="C49" s="322" t="s">
        <v>315</v>
      </c>
      <c r="D49" s="323">
        <f>F49/F55*100</f>
        <v>27.852651480331531</v>
      </c>
      <c r="E49" s="5">
        <v>173150</v>
      </c>
      <c r="F49" s="5">
        <v>203006</v>
      </c>
      <c r="G49" s="324">
        <f t="shared" si="42"/>
        <v>17.242853017614792</v>
      </c>
      <c r="AK49" s="325" t="s">
        <v>26</v>
      </c>
      <c r="AL49" s="326">
        <v>825056</v>
      </c>
      <c r="AM49" s="327">
        <v>848204</v>
      </c>
      <c r="AN49" s="327">
        <v>924696</v>
      </c>
      <c r="AO49" s="327">
        <v>985514</v>
      </c>
      <c r="AP49" s="327">
        <v>997791</v>
      </c>
      <c r="AQ49" s="327">
        <v>1005984</v>
      </c>
      <c r="AR49" s="327">
        <v>1073238</v>
      </c>
      <c r="AS49" s="327">
        <v>1070624</v>
      </c>
      <c r="AT49" s="327">
        <v>1030760</v>
      </c>
      <c r="AU49" s="327">
        <v>1072544</v>
      </c>
      <c r="AV49" s="328">
        <v>1109892</v>
      </c>
      <c r="AW49" s="328">
        <v>1163376</v>
      </c>
      <c r="AX49" s="328">
        <v>1129593</v>
      </c>
      <c r="AY49" s="329">
        <v>1205011</v>
      </c>
      <c r="AZ49" s="329">
        <v>1233423</v>
      </c>
      <c r="BA49" s="330">
        <v>1292983</v>
      </c>
      <c r="BB49" s="330">
        <v>1269580</v>
      </c>
      <c r="BC49" s="329">
        <v>1292276.71</v>
      </c>
      <c r="BD49" s="329">
        <v>1306049</v>
      </c>
      <c r="BE49" s="329">
        <v>1405757</v>
      </c>
      <c r="BF49" s="331">
        <v>1431391</v>
      </c>
      <c r="BG49" s="329">
        <v>1435198</v>
      </c>
      <c r="DV49" s="1098" t="s">
        <v>300</v>
      </c>
      <c r="DW49" s="1099"/>
    </row>
    <row r="50" spans="3:127" ht="15.75" thickBot="1" x14ac:dyDescent="0.3">
      <c r="C50" s="332" t="s">
        <v>316</v>
      </c>
      <c r="D50" s="333"/>
      <c r="E50" s="334">
        <v>50413</v>
      </c>
      <c r="F50" s="334">
        <v>60119</v>
      </c>
      <c r="G50" s="335">
        <f t="shared" si="42"/>
        <v>19.252970463967628</v>
      </c>
      <c r="AK50" s="336" t="s">
        <v>317</v>
      </c>
      <c r="AL50" s="9">
        <f t="shared" ref="AL50:BG50" si="44">AL43/AL49*100</f>
        <v>22.206735057983941</v>
      </c>
      <c r="AM50" s="9">
        <f t="shared" si="44"/>
        <v>21.735337253773857</v>
      </c>
      <c r="AN50" s="9">
        <f t="shared" si="44"/>
        <v>22.20351337088081</v>
      </c>
      <c r="AO50" s="9">
        <f t="shared" si="44"/>
        <v>29.670101084307277</v>
      </c>
      <c r="AP50" s="9">
        <f t="shared" si="44"/>
        <v>31.973729969502628</v>
      </c>
      <c r="AQ50" s="9">
        <f t="shared" si="44"/>
        <v>32.810064573591632</v>
      </c>
      <c r="AR50" s="9">
        <f t="shared" si="44"/>
        <v>31.382787415279743</v>
      </c>
      <c r="AS50" s="9">
        <f t="shared" si="44"/>
        <v>30.277856651821743</v>
      </c>
      <c r="AT50" s="9">
        <f t="shared" si="44"/>
        <v>30.111762194885326</v>
      </c>
      <c r="AU50" s="9">
        <f t="shared" si="44"/>
        <v>32.550739177133991</v>
      </c>
      <c r="AV50" s="9">
        <f t="shared" si="44"/>
        <v>32.375672587963514</v>
      </c>
      <c r="AW50" s="337">
        <f t="shared" si="44"/>
        <v>31.06338793305002</v>
      </c>
      <c r="AX50" s="337">
        <f t="shared" si="44"/>
        <v>27.081258470971402</v>
      </c>
      <c r="AY50" s="10">
        <f t="shared" si="44"/>
        <v>30.74644131879294</v>
      </c>
      <c r="AZ50" s="10">
        <f t="shared" si="44"/>
        <v>31.92611131785284</v>
      </c>
      <c r="BA50" s="193">
        <f t="shared" si="44"/>
        <v>32.108310782121649</v>
      </c>
      <c r="BB50" s="193">
        <f t="shared" si="44"/>
        <v>26.938908930512451</v>
      </c>
      <c r="BC50" s="338">
        <f t="shared" si="44"/>
        <v>31.916152075510208</v>
      </c>
      <c r="BD50" s="338">
        <f t="shared" si="44"/>
        <v>33.492770945041109</v>
      </c>
      <c r="BE50" s="338">
        <f t="shared" si="44"/>
        <v>31.568471649083019</v>
      </c>
      <c r="BF50" s="338">
        <f t="shared" si="44"/>
        <v>32.091231536316769</v>
      </c>
      <c r="BG50" s="338">
        <f t="shared" si="44"/>
        <v>31.966390700098522</v>
      </c>
      <c r="BI50" s="33" t="s">
        <v>56</v>
      </c>
      <c r="BJ50" s="171" t="s">
        <v>0</v>
      </c>
      <c r="BK50" s="94" t="s">
        <v>1</v>
      </c>
      <c r="BL50" s="94" t="s">
        <v>2</v>
      </c>
      <c r="BM50" s="94" t="s">
        <v>3</v>
      </c>
      <c r="BN50" s="94" t="s">
        <v>4</v>
      </c>
      <c r="BO50" s="94" t="s">
        <v>5</v>
      </c>
      <c r="BP50" s="94" t="s">
        <v>6</v>
      </c>
      <c r="BQ50" s="94" t="s">
        <v>7</v>
      </c>
      <c r="BR50" s="94" t="s">
        <v>27</v>
      </c>
      <c r="BS50" s="94" t="s">
        <v>9</v>
      </c>
      <c r="BT50" s="94" t="s">
        <v>10</v>
      </c>
      <c r="BU50" s="94" t="s">
        <v>11</v>
      </c>
      <c r="BV50" s="94" t="s">
        <v>12</v>
      </c>
      <c r="BW50" s="35" t="s">
        <v>13</v>
      </c>
      <c r="BX50" s="35" t="s">
        <v>14</v>
      </c>
      <c r="BY50" s="35" t="s">
        <v>15</v>
      </c>
      <c r="BZ50" s="35" t="s">
        <v>16</v>
      </c>
      <c r="CA50" s="35" t="s">
        <v>17</v>
      </c>
      <c r="CB50" s="35" t="s">
        <v>18</v>
      </c>
      <c r="CC50" s="35" t="s">
        <v>19</v>
      </c>
      <c r="CD50" s="35" t="s">
        <v>20</v>
      </c>
      <c r="CE50" s="35" t="s">
        <v>201</v>
      </c>
      <c r="DV50" s="339" t="s">
        <v>318</v>
      </c>
      <c r="DW50" s="340" t="s">
        <v>259</v>
      </c>
    </row>
    <row r="51" spans="3:127" x14ac:dyDescent="0.25">
      <c r="C51" s="341" t="s">
        <v>255</v>
      </c>
      <c r="D51" s="342"/>
      <c r="E51" s="334">
        <v>44776</v>
      </c>
      <c r="F51" s="334">
        <v>53368</v>
      </c>
      <c r="G51" s="335">
        <f t="shared" si="42"/>
        <v>19.188851170269785</v>
      </c>
      <c r="BI51" s="343" t="s">
        <v>319</v>
      </c>
      <c r="BJ51" s="344">
        <v>183.21799999999999</v>
      </c>
      <c r="BK51" s="344">
        <v>184.36</v>
      </c>
      <c r="BL51" s="344">
        <v>205.315</v>
      </c>
      <c r="BM51" s="344">
        <v>292.40300000000002</v>
      </c>
      <c r="BN51" s="344">
        <v>319.03100000000001</v>
      </c>
      <c r="BO51" s="344">
        <v>330.06400000000002</v>
      </c>
      <c r="BP51" s="344">
        <v>336.81200000000001</v>
      </c>
      <c r="BQ51" s="344">
        <v>324.16199999999998</v>
      </c>
      <c r="BR51" s="344">
        <v>310.38</v>
      </c>
      <c r="BS51" s="344">
        <v>349.12099999999998</v>
      </c>
      <c r="BT51" s="344">
        <v>359.33499999999998</v>
      </c>
      <c r="BU51" s="344">
        <v>361.38400000000001</v>
      </c>
      <c r="BV51" s="344">
        <v>305.90800000000002</v>
      </c>
      <c r="BW51" s="344">
        <v>370.49799999999999</v>
      </c>
      <c r="BX51" s="344">
        <v>393.78399999999999</v>
      </c>
      <c r="BY51" s="344">
        <v>415.15499999999997</v>
      </c>
      <c r="BZ51" s="344">
        <v>342.01100000000002</v>
      </c>
      <c r="CA51" s="344">
        <v>412.44499999999999</v>
      </c>
      <c r="CB51" s="344">
        <v>437.43200000000002</v>
      </c>
      <c r="CC51" s="344">
        <v>443.77600000000001</v>
      </c>
      <c r="CD51" s="344">
        <v>459.351</v>
      </c>
      <c r="CE51" s="344">
        <v>458.78100000000001</v>
      </c>
      <c r="DV51" s="204" t="s">
        <v>293</v>
      </c>
      <c r="DW51" s="264">
        <v>175601</v>
      </c>
    </row>
    <row r="52" spans="3:127" x14ac:dyDescent="0.25">
      <c r="C52" s="341" t="s">
        <v>257</v>
      </c>
      <c r="D52" s="342"/>
      <c r="E52" s="334">
        <v>63758</v>
      </c>
      <c r="F52" s="334">
        <v>72231</v>
      </c>
      <c r="G52" s="335">
        <f t="shared" si="42"/>
        <v>13.289312713698664</v>
      </c>
      <c r="BI52" s="345" t="s">
        <v>320</v>
      </c>
      <c r="BJ52" s="346">
        <v>107.572</v>
      </c>
      <c r="BK52" s="347">
        <v>118.36799999999999</v>
      </c>
      <c r="BL52" s="347">
        <v>122.59099999999999</v>
      </c>
      <c r="BM52" s="347">
        <v>135.02099999999999</v>
      </c>
      <c r="BN52" s="347">
        <v>136.417</v>
      </c>
      <c r="BO52" s="347">
        <v>143.792</v>
      </c>
      <c r="BP52" s="347">
        <v>160.19399999999999</v>
      </c>
      <c r="BQ52" s="347">
        <v>171.755</v>
      </c>
      <c r="BR52" s="347">
        <v>158.61699999999999</v>
      </c>
      <c r="BS52" s="347">
        <v>161.648</v>
      </c>
      <c r="BT52" s="347">
        <v>172.74</v>
      </c>
      <c r="BU52" s="347">
        <v>186.71</v>
      </c>
      <c r="BV52" s="347">
        <v>181.505</v>
      </c>
      <c r="BW52" s="347">
        <v>203.14</v>
      </c>
      <c r="BX52" s="347">
        <v>206.958</v>
      </c>
      <c r="BY52" s="347">
        <v>211.417</v>
      </c>
      <c r="BZ52" s="347">
        <v>180.39</v>
      </c>
      <c r="CA52" s="347">
        <v>191.274</v>
      </c>
      <c r="CB52" s="347">
        <v>189.017</v>
      </c>
      <c r="CC52" s="347">
        <v>198.874</v>
      </c>
      <c r="CD52" s="347">
        <v>203.19300000000001</v>
      </c>
      <c r="CE52" s="347">
        <v>193.56700000000001</v>
      </c>
      <c r="DV52" s="210" t="s">
        <v>126</v>
      </c>
      <c r="DW52" s="348">
        <v>78736</v>
      </c>
    </row>
    <row r="53" spans="3:127" x14ac:dyDescent="0.25">
      <c r="C53" s="322" t="s">
        <v>229</v>
      </c>
      <c r="D53" s="323">
        <f>F53/F55*100</f>
        <v>4.8635054612907611</v>
      </c>
      <c r="E53" s="5">
        <v>34738</v>
      </c>
      <c r="F53" s="5">
        <v>35448</v>
      </c>
      <c r="G53" s="324">
        <f t="shared" si="42"/>
        <v>2.0438712648972199</v>
      </c>
      <c r="AY53" s="1"/>
      <c r="DV53" s="210" t="s">
        <v>296</v>
      </c>
      <c r="DW53" s="348">
        <v>64117</v>
      </c>
    </row>
    <row r="54" spans="3:127" x14ac:dyDescent="0.25">
      <c r="C54" s="322" t="s">
        <v>115</v>
      </c>
      <c r="D54" s="323">
        <f>F54/F55*100</f>
        <v>13.424444026743243</v>
      </c>
      <c r="E54" s="5">
        <v>79075</v>
      </c>
      <c r="F54" s="5">
        <v>97845</v>
      </c>
      <c r="G54" s="324">
        <f t="shared" si="42"/>
        <v>23.736958583623149</v>
      </c>
      <c r="AY54" s="27"/>
      <c r="DV54" s="210" t="s">
        <v>295</v>
      </c>
      <c r="DW54" s="348">
        <v>51594</v>
      </c>
    </row>
    <row r="55" spans="3:127" ht="15.75" thickBot="1" x14ac:dyDescent="0.3">
      <c r="C55" s="349" t="s">
        <v>116</v>
      </c>
      <c r="D55" s="350">
        <f>F55/F55*100</f>
        <v>100</v>
      </c>
      <c r="E55" s="282">
        <v>624450</v>
      </c>
      <c r="F55" s="282">
        <v>728857</v>
      </c>
      <c r="G55" s="351">
        <f t="shared" si="42"/>
        <v>16.719833453439037</v>
      </c>
      <c r="AY55" s="1"/>
      <c r="DV55" s="210" t="s">
        <v>129</v>
      </c>
      <c r="DW55" s="348">
        <v>45068</v>
      </c>
    </row>
    <row r="56" spans="3:127" ht="18.75" x14ac:dyDescent="0.3">
      <c r="AK56" s="1100" t="s">
        <v>321</v>
      </c>
      <c r="AL56" s="1101"/>
      <c r="AM56" s="1101"/>
      <c r="AN56" s="1101"/>
      <c r="AO56" s="1101"/>
      <c r="AP56" s="1101"/>
      <c r="AQ56" s="1101"/>
      <c r="AR56" s="1101"/>
      <c r="AS56" s="1101"/>
      <c r="AT56" s="1101"/>
      <c r="AU56" s="1101"/>
      <c r="AV56" s="1101"/>
      <c r="AW56" s="1101"/>
      <c r="AX56" s="1101"/>
      <c r="AY56" s="1101"/>
      <c r="AZ56" s="1101"/>
      <c r="BA56" s="1101"/>
      <c r="BB56" s="1101"/>
      <c r="BC56" s="1101"/>
      <c r="BD56" s="1101"/>
      <c r="BE56" s="1101"/>
      <c r="BF56" s="1101"/>
      <c r="BG56" s="1101"/>
      <c r="DV56" s="210" t="s">
        <v>133</v>
      </c>
      <c r="DW56" s="348">
        <v>34957</v>
      </c>
    </row>
    <row r="57" spans="3:127" ht="15.75" thickBot="1" x14ac:dyDescent="0.3">
      <c r="C57" s="1102" t="s">
        <v>305</v>
      </c>
      <c r="D57" s="1102"/>
      <c r="E57" s="1102"/>
      <c r="F57" s="1102"/>
      <c r="G57" s="1102"/>
      <c r="DV57" s="210" t="s">
        <v>301</v>
      </c>
      <c r="DW57" s="348">
        <v>30051</v>
      </c>
    </row>
    <row r="58" spans="3:127" ht="45.75" thickBot="1" x14ac:dyDescent="0.3">
      <c r="C58" s="313" t="s">
        <v>80</v>
      </c>
      <c r="D58" s="314" t="s">
        <v>308</v>
      </c>
      <c r="E58" s="315" t="s">
        <v>309</v>
      </c>
      <c r="F58" s="316" t="s">
        <v>310</v>
      </c>
      <c r="G58" s="317" t="s">
        <v>311</v>
      </c>
      <c r="AK58" s="352" t="s">
        <v>322</v>
      </c>
      <c r="AL58" s="353" t="s">
        <v>0</v>
      </c>
      <c r="AM58" s="354" t="s">
        <v>1</v>
      </c>
      <c r="AN58" s="354" t="s">
        <v>2</v>
      </c>
      <c r="AO58" s="354" t="s">
        <v>3</v>
      </c>
      <c r="AP58" s="354" t="s">
        <v>4</v>
      </c>
      <c r="AQ58" s="354" t="s">
        <v>5</v>
      </c>
      <c r="AR58" s="354" t="s">
        <v>6</v>
      </c>
      <c r="AS58" s="354" t="s">
        <v>7</v>
      </c>
      <c r="AT58" s="355" t="s">
        <v>27</v>
      </c>
      <c r="AU58" s="355" t="s">
        <v>9</v>
      </c>
      <c r="AV58" s="355" t="s">
        <v>10</v>
      </c>
      <c r="AW58" s="355" t="s">
        <v>11</v>
      </c>
      <c r="AX58" s="356" t="s">
        <v>12</v>
      </c>
      <c r="AY58" s="355" t="s">
        <v>13</v>
      </c>
      <c r="AZ58" s="355" t="s">
        <v>14</v>
      </c>
      <c r="BA58" s="357" t="s">
        <v>15</v>
      </c>
      <c r="BB58" s="357" t="s">
        <v>16</v>
      </c>
      <c r="BC58" s="355" t="s">
        <v>298</v>
      </c>
      <c r="BD58" s="356" t="s">
        <v>18</v>
      </c>
      <c r="BE58" s="355" t="s">
        <v>300</v>
      </c>
      <c r="BF58" s="355" t="s">
        <v>203</v>
      </c>
      <c r="BG58" s="355" t="s">
        <v>201</v>
      </c>
      <c r="DV58" s="210" t="s">
        <v>127</v>
      </c>
      <c r="DW58" s="348">
        <v>29702</v>
      </c>
    </row>
    <row r="59" spans="3:127" x14ac:dyDescent="0.25">
      <c r="C59" s="319" t="s">
        <v>296</v>
      </c>
      <c r="D59" s="320">
        <f>F59/F73*100</f>
        <v>11.570818223194491</v>
      </c>
      <c r="E59" s="80">
        <v>66433</v>
      </c>
      <c r="F59" s="80">
        <v>63048</v>
      </c>
      <c r="G59" s="321">
        <f>F59/E59*100-100</f>
        <v>-5.0953592341155769</v>
      </c>
      <c r="AK59" s="279" t="s">
        <v>34</v>
      </c>
      <c r="AL59" s="358">
        <v>955</v>
      </c>
      <c r="AM59" s="359">
        <v>1117</v>
      </c>
      <c r="AN59" s="359">
        <v>1136</v>
      </c>
      <c r="AO59" s="359">
        <v>1566</v>
      </c>
      <c r="AP59" s="359">
        <v>2003</v>
      </c>
      <c r="AQ59" s="359">
        <v>2475</v>
      </c>
      <c r="AR59" s="359">
        <v>1950</v>
      </c>
      <c r="AS59" s="359">
        <v>1803</v>
      </c>
      <c r="AT59" s="359">
        <v>4857</v>
      </c>
      <c r="AU59" s="359">
        <f>'[15]2018. I. - Állományi_Új'!B29+'[15]2018. I. - Állományi_Új'!H29</f>
        <v>5101</v>
      </c>
      <c r="AV59" s="359">
        <f>'[15]2018. II. - Állományi_Új'!B29+'[15]2018. II. - Állományi_Új'!H29</f>
        <v>2007</v>
      </c>
      <c r="AW59" s="360">
        <f>'[15]2018. III. - Állományi_Új'!B29+'[15]2018. III. - Állományi_Új'!H29</f>
        <v>1967</v>
      </c>
      <c r="AX59" s="360">
        <f>'[15]2018. IV. - Állományi_Új'!B29+'[15]2018. IV. - Állományi_Új'!H29</f>
        <v>2070</v>
      </c>
      <c r="AY59" s="80">
        <v>2098</v>
      </c>
      <c r="AZ59" s="80">
        <v>2288</v>
      </c>
      <c r="BA59" s="81">
        <v>2529</v>
      </c>
      <c r="BB59" s="81">
        <v>1683</v>
      </c>
      <c r="BC59" s="63">
        <f>'[15]2020. I. Állomány adatok'!B34+'[15]2020. I. Állomány adatok'!J34</f>
        <v>2698</v>
      </c>
      <c r="BD59" s="63">
        <f>'[15]2020. II. Állományi adatok'!B34+'[15]2020. II. Állományi adatok'!J34</f>
        <v>2713</v>
      </c>
      <c r="BE59" s="63">
        <f>'[15]2020. III. Állományi adatok'!B34+'[15]2020. III. Állományi adatok'!J34</f>
        <v>2952</v>
      </c>
      <c r="BF59" s="5">
        <f>'[15]2020. IV. Állományi adatok'!B34+'[15]2020. IV. Állományi adatok'!J34</f>
        <v>3011</v>
      </c>
      <c r="BG59" s="5">
        <v>3062</v>
      </c>
      <c r="DV59" s="210" t="s">
        <v>128</v>
      </c>
      <c r="DW59" s="348">
        <v>22214</v>
      </c>
    </row>
    <row r="60" spans="3:127" ht="15.75" thickBot="1" x14ac:dyDescent="0.3">
      <c r="C60" s="322" t="s">
        <v>295</v>
      </c>
      <c r="D60" s="320">
        <f>F60/F73*100</f>
        <v>7.8074760317716665</v>
      </c>
      <c r="E60" s="5">
        <v>41015</v>
      </c>
      <c r="F60" s="5">
        <v>42542</v>
      </c>
      <c r="G60" s="324">
        <f t="shared" ref="G60:G73" si="45">F60/E60*100-100</f>
        <v>3.7230281604291093</v>
      </c>
      <c r="AK60" s="361" t="s">
        <v>35</v>
      </c>
      <c r="AL60" s="362">
        <v>106617</v>
      </c>
      <c r="AM60" s="282">
        <v>117251</v>
      </c>
      <c r="AN60" s="282">
        <v>121455</v>
      </c>
      <c r="AO60" s="282">
        <v>133455</v>
      </c>
      <c r="AP60" s="282">
        <v>134414</v>
      </c>
      <c r="AQ60" s="282">
        <v>141317</v>
      </c>
      <c r="AR60" s="282">
        <v>158244</v>
      </c>
      <c r="AS60" s="282">
        <v>169952</v>
      </c>
      <c r="AT60" s="282">
        <v>153760</v>
      </c>
      <c r="AU60" s="282">
        <f>'[15]2018. I. - Állományi_Új'!B69+'[15]2018. I. - Állományi_Új'!H69</f>
        <v>156547</v>
      </c>
      <c r="AV60" s="282">
        <f>'[15]2018. II. - Állományi_Új'!B69+'[15]2018. II. - Állományi_Új'!H69</f>
        <v>170733</v>
      </c>
      <c r="AW60" s="283">
        <f>'[15]2018. III. - Állományi_Új'!B69+'[15]2018. III. - Állományi_Új'!H69</f>
        <v>184743</v>
      </c>
      <c r="AX60" s="283">
        <f>'[15]2018. IV. - Állományi_Új'!B69+'[15]2018. IV. - Állományi_Új'!H69</f>
        <v>179435</v>
      </c>
      <c r="AY60" s="282">
        <v>201042</v>
      </c>
      <c r="AZ60" s="282">
        <v>204670</v>
      </c>
      <c r="BA60" s="283">
        <v>208888</v>
      </c>
      <c r="BB60" s="283">
        <v>178707</v>
      </c>
      <c r="BC60" s="282">
        <f>'[15]2020. I. Állomány adatok'!B81+'[15]2020. I. Állomány adatok'!J81</f>
        <v>188576</v>
      </c>
      <c r="BD60" s="282">
        <f>'[15]2020. II. Állományi adatok'!B81+'[15]2020. II. Állományi adatok'!J81</f>
        <v>186304</v>
      </c>
      <c r="BE60" s="282">
        <f>'[15]2020. III. Állományi adatok'!B81+'[15]2020. III. Állományi adatok'!J81</f>
        <v>195922</v>
      </c>
      <c r="BF60" s="284">
        <f>'[15]2020. IV. Állományi adatok'!B81+'[15]2020. IV. Állományi adatok'!J81</f>
        <v>200182</v>
      </c>
      <c r="BG60" s="284">
        <v>190505</v>
      </c>
      <c r="BH60" s="86">
        <f>BD63/AZ63*100-100</f>
        <v>-8.6689086674590925</v>
      </c>
      <c r="DV60" s="210" t="s">
        <v>131</v>
      </c>
      <c r="DW60" s="348">
        <v>20932</v>
      </c>
    </row>
    <row r="61" spans="3:127" x14ac:dyDescent="0.25">
      <c r="C61" s="322" t="s">
        <v>124</v>
      </c>
      <c r="D61" s="320">
        <f>F61/F73*100</f>
        <v>1.2615436566780696</v>
      </c>
      <c r="E61" s="5">
        <v>7537</v>
      </c>
      <c r="F61" s="5">
        <v>6874</v>
      </c>
      <c r="G61" s="324">
        <f t="shared" si="45"/>
        <v>-8.7966034231126429</v>
      </c>
      <c r="AK61" s="363" t="s">
        <v>302</v>
      </c>
      <c r="AL61" s="245">
        <f>AL59/AL63*100</f>
        <v>0.88777748856579775</v>
      </c>
      <c r="AM61" s="220">
        <f t="shared" ref="AM61:BG61" si="46">AM59/AM63*100</f>
        <v>0.94366720735333876</v>
      </c>
      <c r="AN61" s="220">
        <f t="shared" si="46"/>
        <v>0.92665856384237022</v>
      </c>
      <c r="AO61" s="220">
        <f t="shared" si="46"/>
        <v>1.1598195836203258</v>
      </c>
      <c r="AP61" s="220">
        <f t="shared" si="46"/>
        <v>1.4682920750346364</v>
      </c>
      <c r="AQ61" s="220">
        <f>AQ59/AQ63*100</f>
        <v>1.7212362301101589</v>
      </c>
      <c r="AR61" s="220">
        <f t="shared" si="46"/>
        <v>1.2172740552080603</v>
      </c>
      <c r="AS61" s="220">
        <f t="shared" si="46"/>
        <v>1.0497510989490846</v>
      </c>
      <c r="AT61" s="220">
        <f t="shared" si="46"/>
        <v>3.0620929660755154</v>
      </c>
      <c r="AU61" s="220">
        <f t="shared" si="46"/>
        <v>3.1556220924477878</v>
      </c>
      <c r="AV61" s="220">
        <f t="shared" si="46"/>
        <v>1.1618617575547063</v>
      </c>
      <c r="AW61" s="288">
        <f t="shared" si="46"/>
        <v>1.0535054362380161</v>
      </c>
      <c r="AX61" s="288">
        <f t="shared" si="46"/>
        <v>1.1404644500151511</v>
      </c>
      <c r="AY61" s="220">
        <f t="shared" si="46"/>
        <v>1.0327852712415084</v>
      </c>
      <c r="AZ61" s="220">
        <f t="shared" si="46"/>
        <v>1.1055383217850965</v>
      </c>
      <c r="BA61" s="288">
        <f t="shared" si="46"/>
        <v>1.1962141171239777</v>
      </c>
      <c r="BB61" s="288">
        <f t="shared" si="46"/>
        <v>0.93297854648262102</v>
      </c>
      <c r="BC61" s="220">
        <f t="shared" si="46"/>
        <v>1.4105419450631032</v>
      </c>
      <c r="BD61" s="220">
        <f t="shared" si="46"/>
        <v>1.4353206325356977</v>
      </c>
      <c r="BE61" s="220">
        <f t="shared" si="46"/>
        <v>1.4843569295131591</v>
      </c>
      <c r="BF61" s="220">
        <f t="shared" si="46"/>
        <v>1.4818423863026777</v>
      </c>
      <c r="BG61" s="220">
        <f t="shared" si="46"/>
        <v>1.5818812090903924</v>
      </c>
      <c r="DV61" s="210" t="s">
        <v>130</v>
      </c>
      <c r="DW61" s="348">
        <v>16489</v>
      </c>
    </row>
    <row r="62" spans="3:127" ht="15.75" thickBot="1" x14ac:dyDescent="0.3">
      <c r="C62" s="322" t="s">
        <v>125</v>
      </c>
      <c r="D62" s="320">
        <f>F62/F73*100</f>
        <v>0.31694586777466199</v>
      </c>
      <c r="E62" s="5">
        <v>4262</v>
      </c>
      <c r="F62" s="5">
        <v>1727</v>
      </c>
      <c r="G62" s="324">
        <f t="shared" si="45"/>
        <v>-59.479117785077428</v>
      </c>
      <c r="AK62" s="364" t="s">
        <v>303</v>
      </c>
      <c r="AL62" s="365">
        <f>AL60/AL63*100</f>
        <v>99.112222511434197</v>
      </c>
      <c r="AM62" s="292">
        <f t="shared" ref="AM62:BG62" si="47">AM60/AM63*100</f>
        <v>99.056332792646657</v>
      </c>
      <c r="AN62" s="292">
        <f t="shared" si="47"/>
        <v>99.073341436157619</v>
      </c>
      <c r="AO62" s="292">
        <f t="shared" si="47"/>
        <v>98.840180416379681</v>
      </c>
      <c r="AP62" s="292">
        <f t="shared" si="47"/>
        <v>98.53170792496536</v>
      </c>
      <c r="AQ62" s="292">
        <f t="shared" si="47"/>
        <v>98.278763769889849</v>
      </c>
      <c r="AR62" s="292">
        <f t="shared" si="47"/>
        <v>98.782725944791935</v>
      </c>
      <c r="AS62" s="292">
        <f t="shared" si="47"/>
        <v>98.950248901050912</v>
      </c>
      <c r="AT62" s="292">
        <f t="shared" si="47"/>
        <v>96.937907033924489</v>
      </c>
      <c r="AU62" s="292">
        <f t="shared" si="47"/>
        <v>96.844377907552214</v>
      </c>
      <c r="AV62" s="292">
        <f t="shared" si="47"/>
        <v>98.838138242445297</v>
      </c>
      <c r="AW62" s="293">
        <f t="shared" si="47"/>
        <v>98.946494563761988</v>
      </c>
      <c r="AX62" s="293">
        <f t="shared" si="47"/>
        <v>98.859535549984841</v>
      </c>
      <c r="AY62" s="292">
        <f t="shared" si="47"/>
        <v>98.967214728758492</v>
      </c>
      <c r="AZ62" s="292">
        <f t="shared" si="47"/>
        <v>98.89446167821491</v>
      </c>
      <c r="BA62" s="293">
        <f t="shared" si="47"/>
        <v>98.803785882876028</v>
      </c>
      <c r="BB62" s="293">
        <f t="shared" si="47"/>
        <v>99.067021453517384</v>
      </c>
      <c r="BC62" s="292">
        <f t="shared" si="47"/>
        <v>98.589458054936898</v>
      </c>
      <c r="BD62" s="292">
        <f t="shared" si="47"/>
        <v>98.564679367464308</v>
      </c>
      <c r="BE62" s="292">
        <f t="shared" si="47"/>
        <v>98.515643070486831</v>
      </c>
      <c r="BF62" s="292">
        <f t="shared" si="47"/>
        <v>98.518157613697326</v>
      </c>
      <c r="BG62" s="292">
        <f t="shared" si="47"/>
        <v>98.418118790909602</v>
      </c>
      <c r="DV62" s="210" t="s">
        <v>124</v>
      </c>
      <c r="DW62" s="348">
        <v>14650</v>
      </c>
    </row>
    <row r="63" spans="3:127" ht="15.75" thickBot="1" x14ac:dyDescent="0.3">
      <c r="C63" s="322" t="s">
        <v>126</v>
      </c>
      <c r="D63" s="320">
        <f>F63/F73*100</f>
        <v>13.503325454038261</v>
      </c>
      <c r="E63" s="366">
        <v>68429</v>
      </c>
      <c r="F63" s="366">
        <v>73578</v>
      </c>
      <c r="G63" s="324">
        <f t="shared" si="45"/>
        <v>7.5245875286793762</v>
      </c>
      <c r="K63" s="367"/>
      <c r="L63" s="35"/>
      <c r="M63" s="35"/>
      <c r="N63" s="35"/>
      <c r="O63" s="54"/>
      <c r="P63" s="35"/>
      <c r="Q63" s="368"/>
      <c r="R63" s="36"/>
      <c r="S63" s="36"/>
      <c r="T63" s="369"/>
      <c r="AK63" s="345" t="s">
        <v>323</v>
      </c>
      <c r="AL63" s="370">
        <f t="shared" ref="AL63:BF63" si="48">AL59+AL60</f>
        <v>107572</v>
      </c>
      <c r="AM63" s="371">
        <f t="shared" si="48"/>
        <v>118368</v>
      </c>
      <c r="AN63" s="371">
        <f t="shared" si="48"/>
        <v>122591</v>
      </c>
      <c r="AO63" s="371">
        <f t="shared" si="48"/>
        <v>135021</v>
      </c>
      <c r="AP63" s="371">
        <f t="shared" si="48"/>
        <v>136417</v>
      </c>
      <c r="AQ63" s="371">
        <f t="shared" si="48"/>
        <v>143792</v>
      </c>
      <c r="AR63" s="371">
        <f t="shared" si="48"/>
        <v>160194</v>
      </c>
      <c r="AS63" s="371">
        <f t="shared" si="48"/>
        <v>171755</v>
      </c>
      <c r="AT63" s="371">
        <f t="shared" si="48"/>
        <v>158617</v>
      </c>
      <c r="AU63" s="371">
        <f t="shared" si="48"/>
        <v>161648</v>
      </c>
      <c r="AV63" s="371">
        <f t="shared" si="48"/>
        <v>172740</v>
      </c>
      <c r="AW63" s="372">
        <f t="shared" si="48"/>
        <v>186710</v>
      </c>
      <c r="AX63" s="372">
        <f t="shared" si="48"/>
        <v>181505</v>
      </c>
      <c r="AY63" s="371">
        <f t="shared" si="48"/>
        <v>203140</v>
      </c>
      <c r="AZ63" s="371">
        <f t="shared" si="48"/>
        <v>206958</v>
      </c>
      <c r="BA63" s="372">
        <f t="shared" si="48"/>
        <v>211417</v>
      </c>
      <c r="BB63" s="372">
        <f t="shared" si="48"/>
        <v>180390</v>
      </c>
      <c r="BC63" s="296">
        <f t="shared" si="48"/>
        <v>191274</v>
      </c>
      <c r="BD63" s="296">
        <f t="shared" si="48"/>
        <v>189017</v>
      </c>
      <c r="BE63" s="296">
        <f t="shared" si="48"/>
        <v>198874</v>
      </c>
      <c r="BF63" s="296">
        <f t="shared" si="48"/>
        <v>203193</v>
      </c>
      <c r="BG63" s="296">
        <v>193567</v>
      </c>
      <c r="BH63" s="373">
        <f>BD63/AL63*100-100</f>
        <v>75.712081210723966</v>
      </c>
      <c r="DV63" s="210" t="s">
        <v>134</v>
      </c>
      <c r="DW63" s="348">
        <v>3508</v>
      </c>
    </row>
    <row r="64" spans="3:127" ht="15.75" thickBot="1" x14ac:dyDescent="0.3">
      <c r="C64" s="322" t="s">
        <v>127</v>
      </c>
      <c r="D64" s="320">
        <f>F64/F73*100</f>
        <v>3.5823875732260575</v>
      </c>
      <c r="E64" s="5">
        <v>10278</v>
      </c>
      <c r="F64" s="5">
        <v>19520</v>
      </c>
      <c r="G64" s="324">
        <f t="shared" si="45"/>
        <v>89.920217941233716</v>
      </c>
      <c r="J64" s="374" t="s">
        <v>24</v>
      </c>
      <c r="K64" s="375"/>
      <c r="L64" s="150"/>
      <c r="M64" s="150"/>
      <c r="N64" s="150"/>
      <c r="O64" s="376"/>
      <c r="P64" s="150"/>
      <c r="Q64" s="377"/>
      <c r="R64" s="378"/>
      <c r="S64" s="269"/>
      <c r="T64" s="379"/>
      <c r="AK64" s="380" t="s">
        <v>324</v>
      </c>
      <c r="AL64" s="381">
        <f>AL63/AL65*100</f>
        <v>28.026606152347057</v>
      </c>
      <c r="AM64" s="381">
        <f t="shared" ref="AM64:BG64" si="49">AM63/AM65*100</f>
        <v>30.360578032902936</v>
      </c>
      <c r="AN64" s="381">
        <f t="shared" si="49"/>
        <v>29.474516856525984</v>
      </c>
      <c r="AO64" s="381">
        <f t="shared" si="49"/>
        <v>31.975494003751209</v>
      </c>
      <c r="AP64" s="381">
        <f t="shared" si="49"/>
        <v>34.733800127307447</v>
      </c>
      <c r="AQ64" s="381">
        <f t="shared" si="49"/>
        <v>37.494165656249592</v>
      </c>
      <c r="AR64" s="381">
        <f t="shared" si="49"/>
        <v>37.383696643975796</v>
      </c>
      <c r="AS64" s="381">
        <f t="shared" si="49"/>
        <v>37.340803450689833</v>
      </c>
      <c r="AT64" s="381">
        <f t="shared" si="49"/>
        <v>35.217543828487187</v>
      </c>
      <c r="AU64" s="381">
        <f t="shared" si="49"/>
        <v>35.650595580727042</v>
      </c>
      <c r="AV64" s="381">
        <f t="shared" si="49"/>
        <v>37.13369333425053</v>
      </c>
      <c r="AW64" s="382">
        <f t="shared" si="49"/>
        <v>37.645270297516795</v>
      </c>
      <c r="AX64" s="382">
        <f t="shared" si="49"/>
        <v>35.9314095216602</v>
      </c>
      <c r="AY64" s="224">
        <f t="shared" si="49"/>
        <v>39.031682258972538</v>
      </c>
      <c r="AZ64" s="220">
        <f t="shared" si="49"/>
        <v>40.515651612145412</v>
      </c>
      <c r="BA64" s="288">
        <f t="shared" si="49"/>
        <v>38.688042805956819</v>
      </c>
      <c r="BB64" s="288">
        <f t="shared" si="49"/>
        <v>33.105885980238142</v>
      </c>
      <c r="BC64" s="220">
        <f t="shared" si="49"/>
        <v>34.208322197276182</v>
      </c>
      <c r="BD64" s="220">
        <f t="shared" si="49"/>
        <v>35.635412758592736</v>
      </c>
      <c r="BE64" s="220">
        <f t="shared" si="49"/>
        <v>33.523137191442309</v>
      </c>
      <c r="BF64" s="220">
        <f t="shared" si="49"/>
        <v>32.960888417384872</v>
      </c>
      <c r="BG64" s="220">
        <f t="shared" si="49"/>
        <v>31.183817736886787</v>
      </c>
      <c r="DV64" s="210" t="s">
        <v>132</v>
      </c>
      <c r="DW64" s="348">
        <v>3316</v>
      </c>
    </row>
    <row r="65" spans="3:127" ht="15.75" thickBot="1" x14ac:dyDescent="0.3">
      <c r="C65" s="322" t="s">
        <v>128</v>
      </c>
      <c r="D65" s="320">
        <f>F65/F73*100</f>
        <v>3.9307160370571568</v>
      </c>
      <c r="E65" s="5">
        <v>20393</v>
      </c>
      <c r="F65" s="5">
        <v>21418</v>
      </c>
      <c r="G65" s="324">
        <f t="shared" si="45"/>
        <v>5.0262344922277151</v>
      </c>
      <c r="J65" s="383" t="s">
        <v>25</v>
      </c>
      <c r="K65" s="384"/>
      <c r="L65" s="39"/>
      <c r="M65" s="39"/>
      <c r="N65" s="39"/>
      <c r="O65" s="385"/>
      <c r="P65" s="39"/>
      <c r="Q65" s="273"/>
      <c r="R65" s="272"/>
      <c r="S65" s="272"/>
      <c r="T65" s="386"/>
      <c r="AK65" s="345" t="s">
        <v>44</v>
      </c>
      <c r="AL65" s="387">
        <v>383821</v>
      </c>
      <c r="AM65" s="388">
        <v>389874</v>
      </c>
      <c r="AN65" s="388">
        <v>415922</v>
      </c>
      <c r="AO65" s="388">
        <v>422264</v>
      </c>
      <c r="AP65" s="388">
        <v>392750</v>
      </c>
      <c r="AQ65" s="388">
        <v>383505</v>
      </c>
      <c r="AR65" s="388">
        <v>428513</v>
      </c>
      <c r="AS65" s="388">
        <v>459966</v>
      </c>
      <c r="AT65" s="388">
        <v>450392</v>
      </c>
      <c r="AU65" s="388">
        <v>453423</v>
      </c>
      <c r="AV65" s="388">
        <v>465184</v>
      </c>
      <c r="AW65" s="389">
        <v>495972</v>
      </c>
      <c r="AX65" s="389">
        <v>505143</v>
      </c>
      <c r="AY65" s="388">
        <v>520449</v>
      </c>
      <c r="AZ65" s="304">
        <v>510810</v>
      </c>
      <c r="BA65" s="305">
        <v>546466</v>
      </c>
      <c r="BB65" s="305">
        <v>544888</v>
      </c>
      <c r="BC65" s="304">
        <v>559144.64</v>
      </c>
      <c r="BD65" s="304">
        <v>530419</v>
      </c>
      <c r="BE65" s="304">
        <v>593244</v>
      </c>
      <c r="BF65" s="304">
        <v>616467</v>
      </c>
      <c r="BG65" s="304">
        <v>620729</v>
      </c>
      <c r="BH65">
        <f>BD65/AZ65*100-100</f>
        <v>3.8388050351402683</v>
      </c>
      <c r="DV65" s="213" t="s">
        <v>125</v>
      </c>
      <c r="DW65" s="312">
        <v>2308</v>
      </c>
    </row>
    <row r="66" spans="3:127" ht="15.75" thickBot="1" x14ac:dyDescent="0.3">
      <c r="C66" s="322" t="s">
        <v>129</v>
      </c>
      <c r="D66" s="320">
        <f>F66/F73*100</f>
        <v>8.4274199468514617</v>
      </c>
      <c r="E66" s="5">
        <v>38951</v>
      </c>
      <c r="F66" s="5">
        <v>45920</v>
      </c>
      <c r="G66" s="324">
        <f t="shared" si="45"/>
        <v>17.891710097301726</v>
      </c>
      <c r="J66" s="390" t="s">
        <v>26</v>
      </c>
      <c r="K66" s="391"/>
      <c r="L66" s="392"/>
      <c r="M66" s="392"/>
      <c r="N66" s="392"/>
      <c r="O66" s="393"/>
      <c r="P66" s="394"/>
      <c r="Q66" s="395"/>
      <c r="R66" s="396"/>
      <c r="S66" s="396"/>
      <c r="T66" s="397"/>
      <c r="AK66" s="25" t="s">
        <v>325</v>
      </c>
      <c r="AL66" s="398">
        <v>0</v>
      </c>
      <c r="AM66" s="232">
        <f t="shared" ref="AM66:AX66" si="50">AM63/AL63*100-100</f>
        <v>10.036068865504035</v>
      </c>
      <c r="AN66" s="232">
        <f t="shared" si="50"/>
        <v>3.5676872127601911</v>
      </c>
      <c r="AO66" s="232">
        <f t="shared" si="50"/>
        <v>10.139406644859733</v>
      </c>
      <c r="AP66" s="232">
        <f t="shared" si="50"/>
        <v>1.0339132431251414</v>
      </c>
      <c r="AQ66" s="232">
        <f t="shared" si="50"/>
        <v>5.4062177001400045</v>
      </c>
      <c r="AR66" s="232">
        <f t="shared" si="50"/>
        <v>11.406754200511841</v>
      </c>
      <c r="AS66" s="232">
        <f t="shared" si="50"/>
        <v>7.2168745396207044</v>
      </c>
      <c r="AT66" s="232">
        <f t="shared" si="50"/>
        <v>-7.649267852464277</v>
      </c>
      <c r="AU66" s="232">
        <f t="shared" si="50"/>
        <v>1.910892275102924</v>
      </c>
      <c r="AV66" s="232">
        <f t="shared" si="50"/>
        <v>6.8618232208254852</v>
      </c>
      <c r="AW66" s="399">
        <f t="shared" si="50"/>
        <v>8.0872988306124824</v>
      </c>
      <c r="AX66" s="399">
        <f t="shared" si="50"/>
        <v>-2.7877457018906284</v>
      </c>
      <c r="AY66" s="232">
        <f>AY63/AW63*100-100</f>
        <v>8.7997429168228791</v>
      </c>
      <c r="AZ66" s="309">
        <f t="shared" ref="AZ66:BG66" si="51">AZ63/AY63*100-100</f>
        <v>1.8794919759771602</v>
      </c>
      <c r="BA66" s="310">
        <f t="shared" si="51"/>
        <v>2.154543433933469</v>
      </c>
      <c r="BB66" s="310">
        <f t="shared" si="51"/>
        <v>-14.675735631477124</v>
      </c>
      <c r="BC66" s="309">
        <f t="shared" si="51"/>
        <v>6.0335938799268405</v>
      </c>
      <c r="BD66" s="309">
        <f t="shared" si="51"/>
        <v>-1.1799826427010487</v>
      </c>
      <c r="BE66" s="309">
        <f t="shared" si="51"/>
        <v>5.2148748525264921</v>
      </c>
      <c r="BF66" s="309">
        <f t="shared" si="51"/>
        <v>2.1717268220078978</v>
      </c>
      <c r="BG66" s="309">
        <f t="shared" si="51"/>
        <v>-4.7373679211390112</v>
      </c>
      <c r="DV66" s="190"/>
      <c r="DW66" s="190"/>
    </row>
    <row r="67" spans="3:127" ht="15.75" thickBot="1" x14ac:dyDescent="0.3">
      <c r="C67" s="322" t="s">
        <v>130</v>
      </c>
      <c r="D67" s="320">
        <f>F67/F73*100</f>
        <v>3.4267592606186961</v>
      </c>
      <c r="E67" s="5">
        <v>16710</v>
      </c>
      <c r="F67" s="5">
        <v>18672</v>
      </c>
      <c r="G67" s="324">
        <f t="shared" si="45"/>
        <v>11.741472172351891</v>
      </c>
      <c r="L67" s="400"/>
      <c r="M67" s="27"/>
      <c r="N67" s="27"/>
      <c r="AK67" s="401" t="s">
        <v>326</v>
      </c>
      <c r="AL67" s="13">
        <f>AL59/AL65*100</f>
        <v>0.24881390022953409</v>
      </c>
      <c r="AM67" s="14">
        <f t="shared" ref="AM67:BG67" si="52">AM59/AM65*100</f>
        <v>0.28650281885942641</v>
      </c>
      <c r="AN67" s="14">
        <f t="shared" si="52"/>
        <v>0.27312813460216095</v>
      </c>
      <c r="AO67" s="14">
        <f t="shared" si="52"/>
        <v>0.37085804141484952</v>
      </c>
      <c r="AP67" s="14">
        <f t="shared" si="52"/>
        <v>0.5099936346276257</v>
      </c>
      <c r="AQ67" s="14">
        <f t="shared" si="52"/>
        <v>0.64536316345288847</v>
      </c>
      <c r="AR67" s="14">
        <f t="shared" si="52"/>
        <v>0.45506204012480367</v>
      </c>
      <c r="AS67" s="14">
        <f t="shared" si="52"/>
        <v>0.39198549458003423</v>
      </c>
      <c r="AT67" s="14">
        <f t="shared" si="52"/>
        <v>1.0783939323966678</v>
      </c>
      <c r="AU67" s="14">
        <f t="shared" si="52"/>
        <v>1.1249980702346374</v>
      </c>
      <c r="AV67" s="14">
        <f t="shared" si="52"/>
        <v>0.43144218201829809</v>
      </c>
      <c r="AW67" s="29">
        <f t="shared" si="52"/>
        <v>0.39659496907083464</v>
      </c>
      <c r="AX67" s="29">
        <f t="shared" si="52"/>
        <v>0.40978495198389364</v>
      </c>
      <c r="AY67" s="14">
        <f t="shared" si="52"/>
        <v>0.40311346548845323</v>
      </c>
      <c r="AZ67" s="14">
        <f t="shared" si="52"/>
        <v>0.44791605489320885</v>
      </c>
      <c r="BA67" s="29">
        <f t="shared" si="52"/>
        <v>0.46279182968382293</v>
      </c>
      <c r="BB67" s="29">
        <f t="shared" si="52"/>
        <v>0.30887081381861958</v>
      </c>
      <c r="BC67" s="14">
        <f t="shared" si="52"/>
        <v>0.48252273329491269</v>
      </c>
      <c r="BD67" s="14">
        <f t="shared" si="52"/>
        <v>0.51148243181334008</v>
      </c>
      <c r="BE67" s="14">
        <f t="shared" si="52"/>
        <v>0.4976030098913769</v>
      </c>
      <c r="BF67" s="14">
        <f t="shared" si="52"/>
        <v>0.48842841547073895</v>
      </c>
      <c r="BG67" s="14">
        <f t="shared" si="52"/>
        <v>0.49329095305680903</v>
      </c>
      <c r="DV67" s="1098" t="s">
        <v>300</v>
      </c>
      <c r="DW67" s="1099"/>
    </row>
    <row r="68" spans="3:127" ht="15.75" thickBot="1" x14ac:dyDescent="0.3">
      <c r="C68" s="322" t="s">
        <v>131</v>
      </c>
      <c r="D68" s="320">
        <f>F68/F73*100</f>
        <v>2.3311212579465872</v>
      </c>
      <c r="E68" s="5">
        <v>15502</v>
      </c>
      <c r="F68" s="5">
        <v>12702</v>
      </c>
      <c r="G68" s="324">
        <f t="shared" si="45"/>
        <v>-18.062185524448466</v>
      </c>
      <c r="L68" s="400"/>
      <c r="M68" s="400"/>
      <c r="AK68" s="401" t="s">
        <v>327</v>
      </c>
      <c r="AL68" s="402">
        <f>AL60/AL65*100</f>
        <v>27.777792252117521</v>
      </c>
      <c r="AM68" s="403">
        <f t="shared" ref="AM68:BG68" si="53">AM60/AM65*100</f>
        <v>30.074075214043511</v>
      </c>
      <c r="AN68" s="403">
        <f t="shared" si="53"/>
        <v>29.20138872192382</v>
      </c>
      <c r="AO68" s="403">
        <f t="shared" si="53"/>
        <v>31.60463596233636</v>
      </c>
      <c r="AP68" s="403">
        <f t="shared" si="53"/>
        <v>34.22380649267982</v>
      </c>
      <c r="AQ68" s="403">
        <f t="shared" si="53"/>
        <v>36.848802492796707</v>
      </c>
      <c r="AR68" s="403">
        <f t="shared" si="53"/>
        <v>36.928634603850988</v>
      </c>
      <c r="AS68" s="403">
        <f t="shared" si="53"/>
        <v>36.948817956109799</v>
      </c>
      <c r="AT68" s="403">
        <f t="shared" si="53"/>
        <v>34.139149896090515</v>
      </c>
      <c r="AU68" s="403">
        <f t="shared" si="53"/>
        <v>34.52559751049241</v>
      </c>
      <c r="AV68" s="403">
        <f t="shared" si="53"/>
        <v>36.702251152232236</v>
      </c>
      <c r="AW68" s="404">
        <f t="shared" si="53"/>
        <v>37.248675328445962</v>
      </c>
      <c r="AX68" s="404">
        <f t="shared" si="53"/>
        <v>35.521624569676305</v>
      </c>
      <c r="AY68" s="403">
        <f t="shared" si="53"/>
        <v>38.628568793484085</v>
      </c>
      <c r="AZ68" s="14">
        <f t="shared" si="53"/>
        <v>40.067735557252213</v>
      </c>
      <c r="BA68" s="29">
        <f t="shared" si="53"/>
        <v>38.225250976272996</v>
      </c>
      <c r="BB68" s="29">
        <f t="shared" si="53"/>
        <v>32.79701516641952</v>
      </c>
      <c r="BC68" s="14">
        <f t="shared" si="53"/>
        <v>33.725799463981268</v>
      </c>
      <c r="BD68" s="14">
        <f t="shared" si="53"/>
        <v>35.123930326779394</v>
      </c>
      <c r="BE68" s="14">
        <f t="shared" si="53"/>
        <v>33.025534181550931</v>
      </c>
      <c r="BF68" s="14">
        <f t="shared" si="53"/>
        <v>32.472460001914136</v>
      </c>
      <c r="BG68" s="14">
        <f t="shared" si="53"/>
        <v>30.690526783829981</v>
      </c>
      <c r="DV68" s="405" t="s">
        <v>318</v>
      </c>
      <c r="DW68" s="340" t="s">
        <v>328</v>
      </c>
    </row>
    <row r="69" spans="3:127" ht="15.75" thickBot="1" x14ac:dyDescent="0.3">
      <c r="C69" s="322" t="s">
        <v>132</v>
      </c>
      <c r="D69" s="320">
        <f>F69/F73*100</f>
        <v>0.49312886317922217</v>
      </c>
      <c r="E69" s="5">
        <v>2544</v>
      </c>
      <c r="F69" s="5">
        <v>2687</v>
      </c>
      <c r="G69" s="324">
        <f t="shared" si="45"/>
        <v>5.621069182389931</v>
      </c>
      <c r="L69" s="400"/>
      <c r="M69" s="400"/>
      <c r="AK69" s="325" t="s">
        <v>26</v>
      </c>
      <c r="AL69" s="406">
        <v>825056</v>
      </c>
      <c r="AM69" s="407">
        <v>848204</v>
      </c>
      <c r="AN69" s="407">
        <v>924696</v>
      </c>
      <c r="AO69" s="407">
        <v>985514</v>
      </c>
      <c r="AP69" s="407">
        <v>997791</v>
      </c>
      <c r="AQ69" s="407">
        <v>1005984</v>
      </c>
      <c r="AR69" s="407">
        <v>1073238</v>
      </c>
      <c r="AS69" s="407">
        <v>1070624</v>
      </c>
      <c r="AT69" s="407">
        <v>1030760</v>
      </c>
      <c r="AU69" s="407">
        <v>1072544</v>
      </c>
      <c r="AV69" s="408">
        <v>1109892</v>
      </c>
      <c r="AW69" s="409">
        <v>1163376</v>
      </c>
      <c r="AX69" s="328">
        <v>1129593</v>
      </c>
      <c r="AY69" s="410">
        <v>1205011</v>
      </c>
      <c r="AZ69" s="329">
        <v>1233423</v>
      </c>
      <c r="BA69" s="330">
        <v>1292983</v>
      </c>
      <c r="BB69" s="330">
        <v>1269580</v>
      </c>
      <c r="BC69" s="329">
        <v>1292276.71</v>
      </c>
      <c r="BD69" s="329">
        <v>1306049</v>
      </c>
      <c r="BE69" s="329">
        <v>1405757</v>
      </c>
      <c r="BF69" s="329">
        <v>1431391</v>
      </c>
      <c r="BG69" s="329">
        <v>1435198</v>
      </c>
      <c r="BH69" s="1">
        <f>BD43+BD63</f>
        <v>626449</v>
      </c>
      <c r="DV69" s="411" t="s">
        <v>293</v>
      </c>
      <c r="DW69" s="225">
        <v>29.600130806211272</v>
      </c>
    </row>
    <row r="70" spans="3:127" ht="15.75" thickBot="1" x14ac:dyDescent="0.3">
      <c r="C70" s="322" t="s">
        <v>133</v>
      </c>
      <c r="D70" s="320">
        <f>F70/F73*100</f>
        <v>5.8723994655782468</v>
      </c>
      <c r="E70" s="5">
        <v>18310</v>
      </c>
      <c r="F70" s="5">
        <v>31998</v>
      </c>
      <c r="G70" s="324">
        <f t="shared" si="45"/>
        <v>74.756963407973785</v>
      </c>
      <c r="AK70" s="412" t="s">
        <v>329</v>
      </c>
      <c r="AL70" s="18">
        <f t="shared" ref="AL70:BG70" si="54">AL63/AL69*100</f>
        <v>13.038145289531863</v>
      </c>
      <c r="AM70" s="18">
        <f t="shared" si="54"/>
        <v>13.955133434881231</v>
      </c>
      <c r="AN70" s="18">
        <f t="shared" si="54"/>
        <v>13.25743812020383</v>
      </c>
      <c r="AO70" s="18">
        <f t="shared" si="54"/>
        <v>13.700566404941988</v>
      </c>
      <c r="AP70" s="18">
        <f t="shared" si="54"/>
        <v>13.671901229816665</v>
      </c>
      <c r="AQ70" s="18">
        <f t="shared" si="54"/>
        <v>14.293666698476319</v>
      </c>
      <c r="AR70" s="18">
        <f t="shared" si="54"/>
        <v>14.926232578421562</v>
      </c>
      <c r="AS70" s="18">
        <f t="shared" si="54"/>
        <v>16.042513524822908</v>
      </c>
      <c r="AT70" s="18">
        <f t="shared" si="54"/>
        <v>15.388354224067676</v>
      </c>
      <c r="AU70" s="18">
        <f t="shared" si="54"/>
        <v>15.071456275919681</v>
      </c>
      <c r="AV70" s="18">
        <f t="shared" si="54"/>
        <v>15.563676465818297</v>
      </c>
      <c r="AW70" s="200">
        <f t="shared" si="54"/>
        <v>16.048981584629558</v>
      </c>
      <c r="AX70" s="200">
        <f t="shared" si="54"/>
        <v>16.068176768092577</v>
      </c>
      <c r="AY70" s="11">
        <f t="shared" si="54"/>
        <v>16.857937396422106</v>
      </c>
      <c r="AZ70" s="10">
        <f t="shared" si="54"/>
        <v>16.779158488207209</v>
      </c>
      <c r="BA70" s="193">
        <f t="shared" si="54"/>
        <v>16.35110438420304</v>
      </c>
      <c r="BB70" s="193">
        <f t="shared" si="54"/>
        <v>14.208635926841948</v>
      </c>
      <c r="BC70" s="338">
        <f t="shared" si="54"/>
        <v>14.801319138530323</v>
      </c>
      <c r="BD70" s="338">
        <f t="shared" si="54"/>
        <v>14.472427910438276</v>
      </c>
      <c r="BE70" s="338">
        <f t="shared" si="54"/>
        <v>14.147110773768153</v>
      </c>
      <c r="BF70" s="338">
        <f t="shared" si="54"/>
        <v>14.195492356735512</v>
      </c>
      <c r="BG70" s="338">
        <f t="shared" si="54"/>
        <v>13.48712860525168</v>
      </c>
      <c r="BH70" s="413">
        <f>BH69/BE69*100-100</f>
        <v>-55.436892720434614</v>
      </c>
      <c r="DV70" s="210" t="s">
        <v>126</v>
      </c>
      <c r="DW70" s="414">
        <v>13.272110632387349</v>
      </c>
    </row>
    <row r="71" spans="3:127" x14ac:dyDescent="0.25">
      <c r="C71" s="322" t="s">
        <v>134</v>
      </c>
      <c r="D71" s="320">
        <f>F71/F73*100</f>
        <v>0.55240710017471473</v>
      </c>
      <c r="E71" s="5">
        <v>2577</v>
      </c>
      <c r="F71" s="5">
        <v>3010</v>
      </c>
      <c r="G71" s="324">
        <f t="shared" si="45"/>
        <v>16.802483507954989</v>
      </c>
      <c r="DV71" s="210" t="s">
        <v>296</v>
      </c>
      <c r="DW71" s="414">
        <v>10.807863206370397</v>
      </c>
    </row>
    <row r="72" spans="3:127" x14ac:dyDescent="0.25">
      <c r="C72" s="322" t="s">
        <v>136</v>
      </c>
      <c r="D72" s="320">
        <f>F72/F73*100</f>
        <v>36.9239183098178</v>
      </c>
      <c r="E72" s="5">
        <v>183032</v>
      </c>
      <c r="F72" s="5">
        <v>201194</v>
      </c>
      <c r="G72" s="324">
        <f t="shared" si="45"/>
        <v>9.9228550198872369</v>
      </c>
      <c r="AK72" s="1103" t="s">
        <v>330</v>
      </c>
      <c r="AL72" s="1104"/>
      <c r="AM72" s="1104"/>
      <c r="AN72" s="1104"/>
      <c r="AO72" s="1104"/>
      <c r="AP72" s="1104"/>
      <c r="AQ72" s="1104"/>
      <c r="AR72" s="1104"/>
      <c r="AS72" s="1104"/>
      <c r="AT72" s="1104"/>
      <c r="AU72" s="1104"/>
      <c r="AV72" s="1104"/>
      <c r="AW72" s="1104"/>
      <c r="AX72" s="1104"/>
      <c r="AY72" s="1104"/>
      <c r="AZ72" s="1104"/>
      <c r="BA72" s="1104"/>
      <c r="BB72" s="1104"/>
      <c r="DV72" s="210" t="s">
        <v>295</v>
      </c>
      <c r="DW72" s="414">
        <v>8.6969274025527437</v>
      </c>
    </row>
    <row r="73" spans="3:127" ht="15.75" thickBot="1" x14ac:dyDescent="0.3">
      <c r="C73" s="349" t="s">
        <v>137</v>
      </c>
      <c r="D73" s="415">
        <f>SUM(D59:D72)</f>
        <v>100.00036704790709</v>
      </c>
      <c r="E73" s="282">
        <v>495972</v>
      </c>
      <c r="F73" s="282">
        <v>544888</v>
      </c>
      <c r="G73" s="351">
        <f t="shared" si="45"/>
        <v>9.8626535368932196</v>
      </c>
      <c r="AK73" s="416" t="s">
        <v>331</v>
      </c>
      <c r="AL73" s="217" t="s">
        <v>235</v>
      </c>
      <c r="AM73" s="217" t="s">
        <v>236</v>
      </c>
      <c r="AN73" s="217" t="s">
        <v>237</v>
      </c>
      <c r="AO73" s="217" t="s">
        <v>238</v>
      </c>
      <c r="AP73" s="217" t="s">
        <v>239</v>
      </c>
      <c r="AQ73" s="217" t="s">
        <v>240</v>
      </c>
      <c r="AR73" s="217" t="s">
        <v>241</v>
      </c>
      <c r="AS73" s="218" t="s">
        <v>242</v>
      </c>
      <c r="AT73" s="218" t="s">
        <v>243</v>
      </c>
      <c r="AU73" s="218" t="s">
        <v>244</v>
      </c>
      <c r="AV73" s="218" t="s">
        <v>245</v>
      </c>
      <c r="AW73" s="218" t="s">
        <v>246</v>
      </c>
      <c r="AX73" s="218" t="s">
        <v>247</v>
      </c>
      <c r="AY73" s="218" t="s">
        <v>248</v>
      </c>
      <c r="AZ73" s="218" t="s">
        <v>249</v>
      </c>
      <c r="BA73" s="218" t="s">
        <v>250</v>
      </c>
      <c r="BB73" s="218" t="s">
        <v>251</v>
      </c>
      <c r="DV73" s="210" t="s">
        <v>129</v>
      </c>
      <c r="DW73" s="414">
        <v>7.5968741361058854</v>
      </c>
    </row>
    <row r="74" spans="3:127" x14ac:dyDescent="0.25">
      <c r="AK74" s="24" t="s">
        <v>332</v>
      </c>
      <c r="AL74" s="245">
        <f t="shared" ref="AL74:AO75" si="55">AP39/AL39*100-100</f>
        <v>285.4503857207684</v>
      </c>
      <c r="AM74" s="220">
        <f t="shared" si="55"/>
        <v>280.50457904600262</v>
      </c>
      <c r="AN74" s="220">
        <f t="shared" si="55"/>
        <v>172.8307396638005</v>
      </c>
      <c r="AO74" s="220">
        <f t="shared" si="55"/>
        <v>21.456871839093864</v>
      </c>
      <c r="AP74" s="220">
        <f t="shared" ref="AP74:AS75" si="56">AU39/AP39*100-100</f>
        <v>12.197275541188191</v>
      </c>
      <c r="AQ74" s="220">
        <f t="shared" si="56"/>
        <v>7.6265791906923681</v>
      </c>
      <c r="AR74" s="220">
        <f t="shared" si="56"/>
        <v>6.531364638508478</v>
      </c>
      <c r="AS74" s="220">
        <f t="shared" si="56"/>
        <v>-4.7554856227273206</v>
      </c>
      <c r="AT74" s="220">
        <f t="shared" ref="AT74:BB75" si="57">AY39/AU39*100-100</f>
        <v>-1.6635916090275487</v>
      </c>
      <c r="AU74" s="220">
        <f t="shared" si="57"/>
        <v>2.3847864096531168</v>
      </c>
      <c r="AV74" s="220">
        <f t="shared" si="57"/>
        <v>5.0231643488005631</v>
      </c>
      <c r="AW74" s="220">
        <f t="shared" si="57"/>
        <v>-4.4821976317234231</v>
      </c>
      <c r="AX74" s="220">
        <f t="shared" si="57"/>
        <v>5.094768292303371</v>
      </c>
      <c r="AY74" s="220">
        <f t="shared" si="57"/>
        <v>4.8267196269169688</v>
      </c>
      <c r="AZ74" s="220">
        <f t="shared" si="57"/>
        <v>2.8847097301717213</v>
      </c>
      <c r="BA74" s="220">
        <f t="shared" si="57"/>
        <v>32.862973391970115</v>
      </c>
      <c r="BB74" s="220">
        <f t="shared" si="57"/>
        <v>6.6339222256066535</v>
      </c>
      <c r="DV74" s="210" t="s">
        <v>133</v>
      </c>
      <c r="DW74" s="414">
        <v>5.8925164013458211</v>
      </c>
    </row>
    <row r="75" spans="3:127" ht="15.75" thickBot="1" x14ac:dyDescent="0.3">
      <c r="AK75" s="25" t="s">
        <v>333</v>
      </c>
      <c r="AL75" s="365">
        <f t="shared" si="55"/>
        <v>-11.628941916673057</v>
      </c>
      <c r="AM75" s="292">
        <f t="shared" si="55"/>
        <v>-10.137091347282436</v>
      </c>
      <c r="AN75" s="292">
        <f t="shared" si="55"/>
        <v>-5.5869759713701512</v>
      </c>
      <c r="AO75" s="292">
        <f t="shared" si="55"/>
        <v>-4.1954046781204681</v>
      </c>
      <c r="AP75" s="292">
        <f t="shared" si="56"/>
        <v>4.536614166391729</v>
      </c>
      <c r="AQ75" s="292">
        <f t="shared" si="56"/>
        <v>11.195283996412499</v>
      </c>
      <c r="AR75" s="292">
        <f t="shared" si="56"/>
        <v>8.7088586174803169</v>
      </c>
      <c r="AS75" s="292">
        <f t="shared" si="56"/>
        <v>-7.2086631866422408</v>
      </c>
      <c r="AT75" s="292">
        <f t="shared" si="57"/>
        <v>20.915456108439429</v>
      </c>
      <c r="AU75" s="292">
        <f t="shared" si="57"/>
        <v>22.650743931088485</v>
      </c>
      <c r="AV75" s="292">
        <f t="shared" si="57"/>
        <v>32.745188079356808</v>
      </c>
      <c r="AW75" s="292">
        <f t="shared" si="57"/>
        <v>41.91418219750949</v>
      </c>
      <c r="AX75" s="292">
        <f t="shared" si="57"/>
        <v>20.942293293767733</v>
      </c>
      <c r="AY75" s="292">
        <f t="shared" si="57"/>
        <v>20.559297685554668</v>
      </c>
      <c r="AZ75" s="292">
        <f t="shared" si="57"/>
        <v>12.644015127085112</v>
      </c>
      <c r="BA75" s="292">
        <f t="shared" si="57"/>
        <v>36.108394752213371</v>
      </c>
      <c r="BB75" s="292">
        <f t="shared" si="57"/>
        <v>17.410787816140271</v>
      </c>
      <c r="DV75" s="210" t="s">
        <v>301</v>
      </c>
      <c r="DW75" s="414">
        <v>5.0655379574003279</v>
      </c>
    </row>
    <row r="76" spans="3:127" ht="15.75" thickBot="1" x14ac:dyDescent="0.3">
      <c r="AK76" s="207" t="s">
        <v>334</v>
      </c>
      <c r="AL76" s="417">
        <f t="shared" ref="AL76:AO76" si="58">AP43/AL43*100-100</f>
        <v>74.12645045792442</v>
      </c>
      <c r="AM76" s="418">
        <f t="shared" si="58"/>
        <v>79.032328053807788</v>
      </c>
      <c r="AN76" s="418">
        <f t="shared" si="58"/>
        <v>64.046465187638489</v>
      </c>
      <c r="AO76" s="418">
        <f t="shared" si="58"/>
        <v>10.861379671207189</v>
      </c>
      <c r="AP76" s="418">
        <f>AU43/AP43*100-100</f>
        <v>9.4316853221160244</v>
      </c>
      <c r="AQ76" s="418">
        <f>AV43/AQ43*100-100</f>
        <v>8.8682800911338546</v>
      </c>
      <c r="AR76" s="418">
        <f>AW43/AR43*100-100</f>
        <v>7.2954645321425602</v>
      </c>
      <c r="AS76" s="418">
        <f>AX43/AS43*100-100</f>
        <v>-5.6311350497590666</v>
      </c>
      <c r="AT76" s="418">
        <f t="shared" ref="AT76:BB76" si="59">AY43/AU43*100-100</f>
        <v>6.123091993893226</v>
      </c>
      <c r="AU76" s="418">
        <f t="shared" si="59"/>
        <v>9.5868757566059486</v>
      </c>
      <c r="AV76" s="418">
        <f t="shared" si="59"/>
        <v>14.879186682310234</v>
      </c>
      <c r="AW76" s="418">
        <f t="shared" si="59"/>
        <v>11.801914301031672</v>
      </c>
      <c r="AX76" s="418">
        <f t="shared" si="59"/>
        <v>11.321788511678861</v>
      </c>
      <c r="AY76" s="418">
        <f t="shared" si="59"/>
        <v>11.08424923308209</v>
      </c>
      <c r="AZ76" s="418">
        <f t="shared" si="59"/>
        <v>6.8940516192747197</v>
      </c>
      <c r="BA76" s="418">
        <f t="shared" si="59"/>
        <v>34.308838019829778</v>
      </c>
      <c r="BB76" s="418">
        <f t="shared" si="59"/>
        <v>11.234467625986497</v>
      </c>
      <c r="DV76" s="210" t="s">
        <v>127</v>
      </c>
      <c r="DW76" s="414">
        <v>5.0067088752688607</v>
      </c>
    </row>
    <row r="77" spans="3:127" ht="15.75" thickBot="1" x14ac:dyDescent="0.3">
      <c r="D77" s="1105" t="s">
        <v>335</v>
      </c>
      <c r="E77" s="1106"/>
      <c r="F77" s="1107"/>
      <c r="AK77" s="157" t="s">
        <v>336</v>
      </c>
      <c r="AL77" s="217" t="s">
        <v>235</v>
      </c>
      <c r="AM77" s="217" t="s">
        <v>236</v>
      </c>
      <c r="AN77" s="217" t="s">
        <v>237</v>
      </c>
      <c r="AO77" s="217" t="s">
        <v>238</v>
      </c>
      <c r="AP77" s="217" t="s">
        <v>239</v>
      </c>
      <c r="AQ77" s="217" t="s">
        <v>240</v>
      </c>
      <c r="AR77" s="217" t="s">
        <v>241</v>
      </c>
      <c r="AS77" s="3" t="s">
        <v>242</v>
      </c>
      <c r="AT77" s="3" t="s">
        <v>243</v>
      </c>
      <c r="AU77" s="3" t="s">
        <v>244</v>
      </c>
      <c r="AV77" s="3" t="s">
        <v>245</v>
      </c>
      <c r="AW77" s="218" t="s">
        <v>246</v>
      </c>
      <c r="AX77" s="218" t="s">
        <v>247</v>
      </c>
      <c r="AY77" s="218" t="s">
        <v>248</v>
      </c>
      <c r="AZ77" s="218" t="s">
        <v>249</v>
      </c>
      <c r="BA77" s="218" t="s">
        <v>250</v>
      </c>
      <c r="BB77" s="419" t="s">
        <v>251</v>
      </c>
      <c r="DV77" s="210" t="s">
        <v>128</v>
      </c>
      <c r="DW77" s="414">
        <v>3.7444963623736607</v>
      </c>
    </row>
    <row r="78" spans="3:127" x14ac:dyDescent="0.25">
      <c r="D78" s="420">
        <v>232411</v>
      </c>
      <c r="E78" s="421">
        <v>136480</v>
      </c>
      <c r="F78" s="422">
        <f t="shared" ref="F78:F85" si="60">SUM(D78:E78)</f>
        <v>368891</v>
      </c>
      <c r="AK78" s="24" t="s">
        <v>332</v>
      </c>
      <c r="AL78" s="231">
        <f t="shared" ref="AL78:AO79" si="61">AP59/AL59*100-100</f>
        <v>109.73821989528795</v>
      </c>
      <c r="AM78" s="232">
        <f t="shared" si="61"/>
        <v>121.57564905998211</v>
      </c>
      <c r="AN78" s="232">
        <f t="shared" si="61"/>
        <v>71.654929577464799</v>
      </c>
      <c r="AO78" s="232">
        <f t="shared" si="61"/>
        <v>15.134099616858236</v>
      </c>
      <c r="AP78" s="232">
        <f t="shared" ref="AP78:AS79" si="62">AU59/AP59*100-100</f>
        <v>154.66799800299552</v>
      </c>
      <c r="AQ78" s="232">
        <f t="shared" si="62"/>
        <v>-18.909090909090907</v>
      </c>
      <c r="AR78" s="232">
        <f t="shared" si="62"/>
        <v>0.8717948717948758</v>
      </c>
      <c r="AS78" s="232">
        <f t="shared" si="62"/>
        <v>14.808652246256244</v>
      </c>
      <c r="AT78" s="232">
        <f t="shared" ref="AT78:BB79" si="63">AY59/AU59*100-100</f>
        <v>-58.870809645167618</v>
      </c>
      <c r="AU78" s="232">
        <f t="shared" si="63"/>
        <v>14.00099651220728</v>
      </c>
      <c r="AV78" s="232">
        <f t="shared" si="63"/>
        <v>28.571428571428584</v>
      </c>
      <c r="AW78" s="232">
        <f t="shared" si="63"/>
        <v>-18.695652173913047</v>
      </c>
      <c r="AX78" s="232">
        <f t="shared" si="63"/>
        <v>28.598665395614859</v>
      </c>
      <c r="AY78" s="232">
        <f t="shared" si="63"/>
        <v>18.575174825174827</v>
      </c>
      <c r="AZ78" s="232">
        <f t="shared" si="63"/>
        <v>16.72597864768683</v>
      </c>
      <c r="BA78" s="232">
        <f t="shared" si="63"/>
        <v>78.906714200831829</v>
      </c>
      <c r="BB78" s="232">
        <f t="shared" si="63"/>
        <v>13.49147516679021</v>
      </c>
      <c r="DV78" s="210" t="s">
        <v>131</v>
      </c>
      <c r="DW78" s="414">
        <v>3.5283964102460366</v>
      </c>
    </row>
    <row r="79" spans="3:127" ht="15.75" thickBot="1" x14ac:dyDescent="0.3">
      <c r="D79" s="420">
        <v>44838</v>
      </c>
      <c r="E79" s="421">
        <v>132352</v>
      </c>
      <c r="F79" s="422">
        <f t="shared" si="60"/>
        <v>177190</v>
      </c>
      <c r="AK79" s="25" t="s">
        <v>333</v>
      </c>
      <c r="AL79" s="402">
        <f t="shared" si="61"/>
        <v>26.071827194537462</v>
      </c>
      <c r="AM79" s="403">
        <f t="shared" si="61"/>
        <v>20.525198079334089</v>
      </c>
      <c r="AN79" s="403">
        <f t="shared" si="61"/>
        <v>30.29023094973445</v>
      </c>
      <c r="AO79" s="403">
        <f t="shared" si="61"/>
        <v>27.347795136937549</v>
      </c>
      <c r="AP79" s="403">
        <f t="shared" si="62"/>
        <v>16.466290713764934</v>
      </c>
      <c r="AQ79" s="403">
        <f t="shared" si="62"/>
        <v>20.81561312510172</v>
      </c>
      <c r="AR79" s="403">
        <f t="shared" si="62"/>
        <v>16.745658603169787</v>
      </c>
      <c r="AS79" s="214">
        <f t="shared" si="62"/>
        <v>5.5798107700997974</v>
      </c>
      <c r="AT79" s="214">
        <f>AY60/AU60*100-100</f>
        <v>28.422773991197516</v>
      </c>
      <c r="AU79" s="214">
        <f t="shared" si="63"/>
        <v>19.877235215219088</v>
      </c>
      <c r="AV79" s="214">
        <f t="shared" si="63"/>
        <v>13.069507369697362</v>
      </c>
      <c r="AW79" s="214">
        <f t="shared" si="63"/>
        <v>-0.40571794800345629</v>
      </c>
      <c r="AX79" s="214">
        <f t="shared" si="63"/>
        <v>-6.2006943822683809</v>
      </c>
      <c r="AY79" s="214">
        <f t="shared" si="63"/>
        <v>-8.9734694874676393</v>
      </c>
      <c r="AZ79" s="214">
        <f t="shared" si="63"/>
        <v>-6.2071540729960617</v>
      </c>
      <c r="BA79" s="214">
        <f t="shared" si="63"/>
        <v>12.016876787143204</v>
      </c>
      <c r="BB79" s="214">
        <f t="shared" si="63"/>
        <v>1.0229297471576473</v>
      </c>
      <c r="DV79" s="210" t="s">
        <v>130</v>
      </c>
      <c r="DW79" s="414">
        <v>2.7794634248302552</v>
      </c>
    </row>
    <row r="80" spans="3:127" ht="15.75" thickBot="1" x14ac:dyDescent="0.3">
      <c r="D80" s="420">
        <v>7325</v>
      </c>
      <c r="E80" s="421">
        <v>38742</v>
      </c>
      <c r="F80" s="422">
        <f t="shared" si="60"/>
        <v>46067</v>
      </c>
      <c r="AK80" s="62" t="s">
        <v>337</v>
      </c>
      <c r="AL80" s="423">
        <f t="shared" ref="AL80:AO80" si="64">AP63/AL63*100-100</f>
        <v>26.814598594429782</v>
      </c>
      <c r="AM80" s="424">
        <f t="shared" si="64"/>
        <v>21.4787780481211</v>
      </c>
      <c r="AN80" s="424">
        <f t="shared" si="64"/>
        <v>30.673540471975912</v>
      </c>
      <c r="AO80" s="424">
        <f t="shared" si="64"/>
        <v>27.206138304411894</v>
      </c>
      <c r="AP80" s="424">
        <f>AU63/AP63*100-100</f>
        <v>18.495495429455275</v>
      </c>
      <c r="AQ80" s="424">
        <f>AV63/AQ63*100-100</f>
        <v>20.131857126961165</v>
      </c>
      <c r="AR80" s="424">
        <f>AW63/AR63*100-100</f>
        <v>16.552430178408684</v>
      </c>
      <c r="AS80" s="425">
        <f>AX63/AS63*100-100</f>
        <v>5.6766906349159996</v>
      </c>
      <c r="AT80" s="425">
        <f>AY63/AU63*100-100</f>
        <v>25.668118380679019</v>
      </c>
      <c r="AU80" s="425">
        <f t="shared" ref="AU80:BB80" si="65">AZ63/AV63*100-100</f>
        <v>19.808961444946178</v>
      </c>
      <c r="AV80" s="425">
        <f t="shared" si="65"/>
        <v>13.232820952278928</v>
      </c>
      <c r="AW80" s="425">
        <f t="shared" si="65"/>
        <v>-0.61430814578110926</v>
      </c>
      <c r="AX80" s="425">
        <f t="shared" si="65"/>
        <v>-5.8412917199960646</v>
      </c>
      <c r="AY80" s="425">
        <f t="shared" si="65"/>
        <v>-8.6689086674590925</v>
      </c>
      <c r="AZ80" s="425">
        <f t="shared" si="65"/>
        <v>-5.9328247018924714</v>
      </c>
      <c r="BA80" s="425">
        <f t="shared" si="65"/>
        <v>12.640944619990009</v>
      </c>
      <c r="BB80" s="425">
        <f t="shared" si="65"/>
        <v>1.1988038102408041</v>
      </c>
      <c r="DV80" s="210" t="s">
        <v>124</v>
      </c>
      <c r="DW80" s="414">
        <v>2.4694729318796313</v>
      </c>
    </row>
    <row r="81" spans="4:127" x14ac:dyDescent="0.25">
      <c r="D81" s="420">
        <v>8719</v>
      </c>
      <c r="E81" s="421">
        <v>42429</v>
      </c>
      <c r="F81" s="422">
        <f t="shared" si="60"/>
        <v>51148</v>
      </c>
      <c r="DV81" s="210" t="s">
        <v>134</v>
      </c>
      <c r="DW81" s="414">
        <v>0.59132498600912953</v>
      </c>
    </row>
    <row r="82" spans="4:127" x14ac:dyDescent="0.25">
      <c r="D82" s="420">
        <v>17672</v>
      </c>
      <c r="E82" s="421">
        <v>46739</v>
      </c>
      <c r="F82" s="422">
        <f t="shared" si="60"/>
        <v>64411</v>
      </c>
      <c r="DV82" s="426" t="s">
        <v>132</v>
      </c>
      <c r="DW82" s="414">
        <v>0.55896056260156024</v>
      </c>
    </row>
    <row r="83" spans="4:127" ht="15.75" thickBot="1" x14ac:dyDescent="0.3">
      <c r="D83" s="420">
        <v>25919</v>
      </c>
      <c r="E83" s="421">
        <v>11153</v>
      </c>
      <c r="F83" s="422">
        <f t="shared" si="60"/>
        <v>37072</v>
      </c>
      <c r="AK83" s="1103" t="s">
        <v>338</v>
      </c>
      <c r="AL83" s="1104"/>
      <c r="AM83" s="1104"/>
      <c r="AN83" s="1104"/>
      <c r="AO83" s="1104"/>
      <c r="AP83" s="1104"/>
      <c r="AQ83" s="1104"/>
      <c r="AR83" s="1104"/>
      <c r="AS83" s="1104"/>
      <c r="AT83" s="1104"/>
      <c r="AU83" s="1104"/>
      <c r="AV83" s="1104"/>
      <c r="AW83" s="1104"/>
      <c r="AX83" s="1104"/>
      <c r="AY83" s="1104"/>
      <c r="AZ83" s="1104"/>
      <c r="BA83" s="1104"/>
      <c r="BB83" s="1104"/>
      <c r="DV83" s="213" t="s">
        <v>125</v>
      </c>
      <c r="DW83" s="427">
        <v>0.38904733971182176</v>
      </c>
    </row>
    <row r="84" spans="4:127" ht="15.75" thickBot="1" x14ac:dyDescent="0.3">
      <c r="D84" s="420">
        <v>33065</v>
      </c>
      <c r="E84" s="421">
        <v>51185</v>
      </c>
      <c r="F84" s="422">
        <f t="shared" si="60"/>
        <v>84250</v>
      </c>
      <c r="AK84" s="416" t="s">
        <v>339</v>
      </c>
      <c r="AL84" s="217" t="s">
        <v>269</v>
      </c>
      <c r="AM84" s="217" t="s">
        <v>270</v>
      </c>
      <c r="AN84" s="217" t="s">
        <v>271</v>
      </c>
      <c r="AO84" s="217" t="s">
        <v>272</v>
      </c>
      <c r="AP84" s="217" t="s">
        <v>273</v>
      </c>
      <c r="AQ84" s="217" t="s">
        <v>274</v>
      </c>
      <c r="AR84" s="217" t="s">
        <v>275</v>
      </c>
      <c r="AS84" s="217" t="s">
        <v>276</v>
      </c>
      <c r="AT84" s="218" t="s">
        <v>277</v>
      </c>
      <c r="AU84" s="218" t="s">
        <v>278</v>
      </c>
      <c r="AV84" s="218" t="s">
        <v>279</v>
      </c>
      <c r="AW84" s="218" t="s">
        <v>280</v>
      </c>
      <c r="AX84" s="218" t="s">
        <v>340</v>
      </c>
      <c r="AY84" s="218" t="s">
        <v>281</v>
      </c>
      <c r="AZ84" s="218" t="s">
        <v>282</v>
      </c>
      <c r="BA84" s="218" t="s">
        <v>283</v>
      </c>
      <c r="BB84" s="218" t="s">
        <v>341</v>
      </c>
    </row>
    <row r="85" spans="4:127" x14ac:dyDescent="0.25">
      <c r="D85" s="428">
        <v>336233</v>
      </c>
      <c r="E85" s="429">
        <v>331171</v>
      </c>
      <c r="F85" s="429">
        <f t="shared" si="60"/>
        <v>667404</v>
      </c>
      <c r="AK85" s="24" t="s">
        <v>342</v>
      </c>
      <c r="AL85" s="245">
        <f t="shared" ref="AL85:AO85" si="66">AP39/AO39*100-100</f>
        <v>18.77840445614936</v>
      </c>
      <c r="AM85" s="220">
        <f t="shared" si="66"/>
        <v>5.5744958475794277</v>
      </c>
      <c r="AN85" s="220">
        <f t="shared" si="66"/>
        <v>1.5802361293739864</v>
      </c>
      <c r="AO85" s="220">
        <f t="shared" si="66"/>
        <v>-4.6509500416243554</v>
      </c>
      <c r="AP85" s="220">
        <f>AU39/AS39*100-100</f>
        <v>9.7230084335153038</v>
      </c>
      <c r="AQ85" s="220">
        <f t="shared" ref="AQ85:BB86" si="67">AV39/AU39*100-100</f>
        <v>1.2735985169769464</v>
      </c>
      <c r="AR85" s="220">
        <f t="shared" si="67"/>
        <v>0.54654952835279857</v>
      </c>
      <c r="AS85" s="221">
        <f t="shared" si="67"/>
        <v>-14.753049579005676</v>
      </c>
      <c r="AT85" s="221">
        <f t="shared" si="67"/>
        <v>13.284913443570858</v>
      </c>
      <c r="AU85" s="221">
        <f t="shared" si="67"/>
        <v>5.4428967130096879</v>
      </c>
      <c r="AV85" s="221">
        <f t="shared" si="67"/>
        <v>3.1375575036157244</v>
      </c>
      <c r="AW85" s="221">
        <f t="shared" si="67"/>
        <v>-22.468520032706465</v>
      </c>
      <c r="AX85" s="221">
        <f t="shared" si="67"/>
        <v>24.643275223842821</v>
      </c>
      <c r="AY85" s="221">
        <f t="shared" si="67"/>
        <v>5.1739601313162069</v>
      </c>
      <c r="AZ85" s="221">
        <f t="shared" si="67"/>
        <v>1.2268408646613551</v>
      </c>
      <c r="BA85" s="221">
        <f t="shared" si="67"/>
        <v>0.12238929332104931</v>
      </c>
      <c r="BB85" s="221">
        <f t="shared" si="67"/>
        <v>3.6910034766862054E-2</v>
      </c>
    </row>
    <row r="86" spans="4:127" ht="15.75" thickBot="1" x14ac:dyDescent="0.3">
      <c r="AK86" s="430" t="s">
        <v>343</v>
      </c>
      <c r="AL86" s="365">
        <f t="shared" ref="AL86:AO86" si="68">AP40/AL40*100-100</f>
        <v>-11.628941916673057</v>
      </c>
      <c r="AM86" s="292">
        <f t="shared" si="68"/>
        <v>-10.137091347282436</v>
      </c>
      <c r="AN86" s="292">
        <f t="shared" si="68"/>
        <v>-5.5869759713701512</v>
      </c>
      <c r="AO86" s="292">
        <f t="shared" si="68"/>
        <v>-4.1954046781204681</v>
      </c>
      <c r="AP86" s="292">
        <f>AU40/AS40*100-100</f>
        <v>4.0541708438483113</v>
      </c>
      <c r="AQ86" s="292">
        <f>AV40/AU40*100-100</f>
        <v>6.0640038538526113</v>
      </c>
      <c r="AR86" s="292">
        <f>AW40/AV40*100-100</f>
        <v>0.613155833985914</v>
      </c>
      <c r="AS86" s="427">
        <f>AX40/AW40*100-100</f>
        <v>-16.434859086416097</v>
      </c>
      <c r="AT86" s="427">
        <f t="shared" si="67"/>
        <v>35.591941658051354</v>
      </c>
      <c r="AU86" s="427">
        <f>AZ40/AY40*100-100</f>
        <v>7.5861547866823145</v>
      </c>
      <c r="AV86" s="427">
        <f t="shared" si="67"/>
        <v>8.8938547486033599</v>
      </c>
      <c r="AW86" s="427">
        <f t="shared" si="67"/>
        <v>-10.662836035296536</v>
      </c>
      <c r="AX86" s="427">
        <f t="shared" si="67"/>
        <v>15.554345043939378</v>
      </c>
      <c r="AY86" s="427">
        <f t="shared" si="67"/>
        <v>7.2454549068830829</v>
      </c>
      <c r="AZ86" s="427">
        <f t="shared" si="67"/>
        <v>1.7444631565568329</v>
      </c>
      <c r="BA86" s="427">
        <f t="shared" si="67"/>
        <v>7.9465958775765131</v>
      </c>
      <c r="BB86" s="427">
        <f t="shared" si="67"/>
        <v>-0.31969216971170056</v>
      </c>
    </row>
    <row r="87" spans="4:127" ht="15.75" thickBot="1" x14ac:dyDescent="0.3">
      <c r="AK87" s="431" t="s">
        <v>344</v>
      </c>
      <c r="AL87" s="432">
        <f t="shared" ref="AL87:AO87" si="69">AP43/AO43*100-100</f>
        <v>9.1066097133066393</v>
      </c>
      <c r="AM87" s="432">
        <f t="shared" si="69"/>
        <v>3.4582846181092179</v>
      </c>
      <c r="AN87" s="432">
        <f t="shared" si="69"/>
        <v>2.0444519850695713</v>
      </c>
      <c r="AO87" s="432">
        <f t="shared" si="69"/>
        <v>-3.7558044250204858</v>
      </c>
      <c r="AP87" s="432">
        <f>AU43/AS43*100-100</f>
        <v>7.6995452890838578</v>
      </c>
      <c r="AQ87" s="432">
        <f>AV43/AU43*100-100</f>
        <v>2.9256332331770238</v>
      </c>
      <c r="AR87" s="432">
        <f>AW43/AV43*100-100</f>
        <v>0.57021998970319032</v>
      </c>
      <c r="AS87" s="433">
        <f>AX63/AW63*100-100</f>
        <v>-2.7877457018906284</v>
      </c>
      <c r="AT87" s="433">
        <f t="shared" ref="AT87:BB87" si="70">AY63/AX63*100-100</f>
        <v>11.919781824192171</v>
      </c>
      <c r="AU87" s="433">
        <f t="shared" si="70"/>
        <v>1.8794919759771602</v>
      </c>
      <c r="AV87" s="433">
        <f t="shared" si="70"/>
        <v>2.154543433933469</v>
      </c>
      <c r="AW87" s="433">
        <f t="shared" si="70"/>
        <v>-14.675735631477124</v>
      </c>
      <c r="AX87" s="433">
        <f t="shared" si="70"/>
        <v>6.0335938799268405</v>
      </c>
      <c r="AY87" s="433">
        <f t="shared" si="70"/>
        <v>-1.1799826427010487</v>
      </c>
      <c r="AZ87" s="433">
        <f t="shared" si="70"/>
        <v>5.2148748525264921</v>
      </c>
      <c r="BA87" s="433">
        <f t="shared" si="70"/>
        <v>2.1717268220078978</v>
      </c>
      <c r="BB87" s="433">
        <f t="shared" si="70"/>
        <v>-4.7373679211390112</v>
      </c>
    </row>
    <row r="88" spans="4:127" ht="15.75" thickBot="1" x14ac:dyDescent="0.3">
      <c r="D88" s="1105" t="s">
        <v>345</v>
      </c>
      <c r="E88" s="1106"/>
      <c r="F88" s="1107"/>
      <c r="AK88" s="157" t="s">
        <v>346</v>
      </c>
      <c r="AL88" s="257" t="s">
        <v>269</v>
      </c>
      <c r="AM88" s="257" t="s">
        <v>270</v>
      </c>
      <c r="AN88" s="257" t="s">
        <v>271</v>
      </c>
      <c r="AO88" s="257" t="s">
        <v>272</v>
      </c>
      <c r="AP88" s="257" t="s">
        <v>273</v>
      </c>
      <c r="AQ88" s="257" t="s">
        <v>274</v>
      </c>
      <c r="AR88" s="257" t="s">
        <v>275</v>
      </c>
      <c r="AS88" s="257" t="s">
        <v>276</v>
      </c>
      <c r="AT88" s="3" t="s">
        <v>277</v>
      </c>
      <c r="AU88" s="3" t="s">
        <v>278</v>
      </c>
      <c r="AV88" s="3" t="s">
        <v>279</v>
      </c>
      <c r="AW88" s="218" t="s">
        <v>280</v>
      </c>
      <c r="AX88" s="218" t="s">
        <v>340</v>
      </c>
      <c r="AY88" s="218" t="s">
        <v>281</v>
      </c>
      <c r="AZ88" s="218" t="s">
        <v>282</v>
      </c>
      <c r="BA88" s="218" t="s">
        <v>283</v>
      </c>
      <c r="BB88" s="218" t="s">
        <v>341</v>
      </c>
    </row>
    <row r="89" spans="4:127" x14ac:dyDescent="0.25">
      <c r="D89" s="434">
        <v>350</v>
      </c>
      <c r="E89" s="435">
        <v>66083</v>
      </c>
      <c r="F89" s="436">
        <f t="shared" ref="F89:F103" si="71">SUM(D89:E89)</f>
        <v>66433</v>
      </c>
      <c r="AE89">
        <f>AE93/AD93*100-100</f>
        <v>2.2572515486589708</v>
      </c>
      <c r="AF89">
        <f>AF93/AE93*100-100</f>
        <v>0.67124403895219587</v>
      </c>
      <c r="AK89" s="24" t="s">
        <v>342</v>
      </c>
      <c r="AL89" s="245">
        <f t="shared" ref="AL89:AO90" si="72">AP59/AO59*100-100</f>
        <v>27.905491698595156</v>
      </c>
      <c r="AM89" s="220">
        <f t="shared" si="72"/>
        <v>23.564653020469308</v>
      </c>
      <c r="AN89" s="220">
        <f t="shared" si="72"/>
        <v>-21.212121212121218</v>
      </c>
      <c r="AO89" s="220">
        <f>AS59/AR59*100-100</f>
        <v>-7.538461538461533</v>
      </c>
      <c r="AP89" s="220">
        <f>AU59/AS59*100-100</f>
        <v>182.91735995562954</v>
      </c>
      <c r="AQ89" s="220">
        <f>AV59/AU59*100-100</f>
        <v>-60.654773573809059</v>
      </c>
      <c r="AR89" s="220">
        <f>AW59/AV59*100-100</f>
        <v>-1.9930244145490832</v>
      </c>
      <c r="AS89" s="220">
        <f t="shared" ref="AS89:BB90" si="73">AX59/AW59*100-100</f>
        <v>5.2364006100660987</v>
      </c>
      <c r="AT89" s="220">
        <f>AY59/AX59*100-100</f>
        <v>1.3526570048309168</v>
      </c>
      <c r="AU89" s="220">
        <f t="shared" ref="AU89:BB89" si="74">AZ59/AY59*100-100</f>
        <v>9.0562440419447228</v>
      </c>
      <c r="AV89" s="220">
        <f>BA59/AZ59*100-100</f>
        <v>10.533216783216787</v>
      </c>
      <c r="AW89" s="221">
        <f t="shared" si="74"/>
        <v>-33.451957295373674</v>
      </c>
      <c r="AX89" s="221">
        <f t="shared" si="74"/>
        <v>60.30897207367795</v>
      </c>
      <c r="AY89" s="221">
        <f t="shared" si="74"/>
        <v>0.55596738324685191</v>
      </c>
      <c r="AZ89" s="221">
        <f t="shared" si="74"/>
        <v>8.8094360486546321</v>
      </c>
      <c r="BA89" s="221">
        <f t="shared" si="74"/>
        <v>1.998644986449861</v>
      </c>
      <c r="BB89" s="221">
        <f t="shared" si="74"/>
        <v>1.6937894387246644</v>
      </c>
    </row>
    <row r="90" spans="4:127" ht="15.75" thickBot="1" x14ac:dyDescent="0.3">
      <c r="D90" s="434">
        <v>110</v>
      </c>
      <c r="E90" s="435">
        <v>40905</v>
      </c>
      <c r="F90" s="436">
        <f t="shared" si="71"/>
        <v>41015</v>
      </c>
      <c r="AF90" s="27">
        <f>AF93/AB93*100-100</f>
        <v>15.258695272823601</v>
      </c>
      <c r="AK90" s="430" t="s">
        <v>343</v>
      </c>
      <c r="AL90" s="365">
        <f t="shared" si="72"/>
        <v>0.71859428271700665</v>
      </c>
      <c r="AM90" s="292">
        <f t="shared" si="72"/>
        <v>5.1356257532697498</v>
      </c>
      <c r="AN90" s="292">
        <f t="shared" si="72"/>
        <v>11.978035197463853</v>
      </c>
      <c r="AO90" s="292">
        <f t="shared" si="72"/>
        <v>7.3987007406283993</v>
      </c>
      <c r="AP90" s="292">
        <f>AU60/AS60*100-100</f>
        <v>-7.8875211824515219</v>
      </c>
      <c r="AQ90" s="292">
        <f>AV60/AU60*100-100</f>
        <v>9.0618153014749652</v>
      </c>
      <c r="AR90" s="292">
        <f>AW60/AV60*100-100</f>
        <v>8.2057950132663251</v>
      </c>
      <c r="AS90" s="292">
        <f t="shared" si="73"/>
        <v>-2.8731805805903292</v>
      </c>
      <c r="AT90" s="292">
        <f t="shared" si="73"/>
        <v>12.041686404547619</v>
      </c>
      <c r="AU90" s="292">
        <f t="shared" si="73"/>
        <v>1.804598044189774</v>
      </c>
      <c r="AV90" s="292">
        <f t="shared" si="73"/>
        <v>2.0608784873210624</v>
      </c>
      <c r="AW90" s="427">
        <f t="shared" si="73"/>
        <v>-14.448412546436373</v>
      </c>
      <c r="AX90" s="427">
        <f t="shared" si="73"/>
        <v>5.5224473579658309</v>
      </c>
      <c r="AY90" s="427">
        <f t="shared" si="73"/>
        <v>-1.2048192771084416</v>
      </c>
      <c r="AZ90" s="427">
        <f t="shared" si="73"/>
        <v>5.1625300583991702</v>
      </c>
      <c r="BA90" s="427">
        <f t="shared" si="73"/>
        <v>2.1743346842110611</v>
      </c>
      <c r="BB90" s="427">
        <f t="shared" si="73"/>
        <v>-4.8341009681190172</v>
      </c>
    </row>
    <row r="91" spans="4:127" ht="15.75" thickBot="1" x14ac:dyDescent="0.3">
      <c r="D91" s="434">
        <v>31</v>
      </c>
      <c r="E91" s="435">
        <v>7506</v>
      </c>
      <c r="F91" s="436">
        <f t="shared" si="71"/>
        <v>7537</v>
      </c>
      <c r="J91" s="33" t="s">
        <v>32</v>
      </c>
      <c r="K91" s="171" t="s">
        <v>0</v>
      </c>
      <c r="L91" s="94" t="s">
        <v>1</v>
      </c>
      <c r="M91" s="94" t="s">
        <v>2</v>
      </c>
      <c r="N91" s="94" t="s">
        <v>3</v>
      </c>
      <c r="O91" s="94" t="s">
        <v>4</v>
      </c>
      <c r="P91" s="94" t="s">
        <v>5</v>
      </c>
      <c r="Q91" s="94" t="s">
        <v>6</v>
      </c>
      <c r="R91" s="94" t="s">
        <v>7</v>
      </c>
      <c r="S91" s="94" t="s">
        <v>27</v>
      </c>
      <c r="T91" s="94" t="s">
        <v>9</v>
      </c>
      <c r="U91" s="94" t="s">
        <v>10</v>
      </c>
      <c r="V91" s="94" t="s">
        <v>11</v>
      </c>
      <c r="W91" s="73" t="s">
        <v>12</v>
      </c>
      <c r="X91" s="94" t="s">
        <v>13</v>
      </c>
      <c r="Y91" s="94" t="s">
        <v>14</v>
      </c>
      <c r="Z91" s="75" t="s">
        <v>15</v>
      </c>
      <c r="AA91" s="94" t="s">
        <v>52</v>
      </c>
      <c r="AB91" s="94" t="s">
        <v>17</v>
      </c>
      <c r="AC91" s="94" t="s">
        <v>18</v>
      </c>
      <c r="AD91" s="94" t="s">
        <v>19</v>
      </c>
      <c r="AE91" s="94" t="s">
        <v>20</v>
      </c>
      <c r="AF91" s="94" t="s">
        <v>202</v>
      </c>
      <c r="AG91" s="94" t="s">
        <v>21</v>
      </c>
      <c r="AH91" s="94" t="s">
        <v>22</v>
      </c>
      <c r="AI91" s="94" t="s">
        <v>203</v>
      </c>
      <c r="AK91" s="431" t="s">
        <v>347</v>
      </c>
      <c r="AL91" s="432">
        <f t="shared" ref="AL91:AO91" si="75">AP63/AO63*100-100</f>
        <v>1.0339132431251414</v>
      </c>
      <c r="AM91" s="432">
        <f t="shared" si="75"/>
        <v>5.4062177001400045</v>
      </c>
      <c r="AN91" s="432">
        <f t="shared" si="75"/>
        <v>11.406754200511841</v>
      </c>
      <c r="AO91" s="432">
        <f t="shared" si="75"/>
        <v>7.2168745396207044</v>
      </c>
      <c r="AP91" s="432">
        <f>AU63/AS63*100-100</f>
        <v>-5.884544845856027</v>
      </c>
      <c r="AQ91" s="432">
        <f>AV63/AU63*100-100</f>
        <v>6.8618232208254852</v>
      </c>
      <c r="AR91" s="432">
        <f t="shared" ref="AR91:BB91" si="76">AW63/AV63*100-100</f>
        <v>8.0872988306124824</v>
      </c>
      <c r="AS91" s="432">
        <f>AX63/AW63*100-100</f>
        <v>-2.7877457018906284</v>
      </c>
      <c r="AT91" s="432">
        <f t="shared" si="76"/>
        <v>11.919781824192171</v>
      </c>
      <c r="AU91" s="432">
        <f>AZ63/AY63*100-100</f>
        <v>1.8794919759771602</v>
      </c>
      <c r="AV91" s="432">
        <f t="shared" si="76"/>
        <v>2.154543433933469</v>
      </c>
      <c r="AW91" s="437">
        <f t="shared" si="76"/>
        <v>-14.675735631477124</v>
      </c>
      <c r="AX91" s="437">
        <f t="shared" si="76"/>
        <v>6.0335938799268405</v>
      </c>
      <c r="AY91" s="437">
        <f t="shared" si="76"/>
        <v>-1.1799826427010487</v>
      </c>
      <c r="AZ91" s="437">
        <f t="shared" si="76"/>
        <v>5.2148748525264921</v>
      </c>
      <c r="BA91" s="437">
        <f t="shared" si="76"/>
        <v>2.1717268220078978</v>
      </c>
      <c r="BB91" s="437">
        <f t="shared" si="76"/>
        <v>-4.7373679211390112</v>
      </c>
    </row>
    <row r="92" spans="4:127" x14ac:dyDescent="0.25">
      <c r="D92" s="434">
        <v>58</v>
      </c>
      <c r="E92" s="435">
        <v>4204</v>
      </c>
      <c r="F92" s="436">
        <f t="shared" si="71"/>
        <v>4262</v>
      </c>
      <c r="J92" s="24" t="s">
        <v>53</v>
      </c>
      <c r="K92" s="4">
        <v>108687</v>
      </c>
      <c r="L92" s="5">
        <v>122266</v>
      </c>
      <c r="M92" s="5">
        <v>159079</v>
      </c>
      <c r="N92" s="5">
        <v>252637</v>
      </c>
      <c r="O92" s="5">
        <v>292254</v>
      </c>
      <c r="P92" s="5">
        <v>314296</v>
      </c>
      <c r="Q92" s="5">
        <v>329297</v>
      </c>
      <c r="R92" s="5">
        <v>305031</v>
      </c>
      <c r="S92" s="5">
        <v>296198</v>
      </c>
      <c r="T92" s="5">
        <v>317654</v>
      </c>
      <c r="U92" s="28">
        <v>330403</v>
      </c>
      <c r="V92" s="28">
        <v>336233</v>
      </c>
      <c r="W92" s="28">
        <v>309922</v>
      </c>
      <c r="X92" s="5">
        <v>334360</v>
      </c>
      <c r="Y92" s="5">
        <v>348750</v>
      </c>
      <c r="Z92" s="28">
        <v>357578</v>
      </c>
      <c r="AA92" s="5">
        <v>348857</v>
      </c>
      <c r="AB92" s="5">
        <v>340813.73</v>
      </c>
      <c r="AC92" s="98">
        <v>362948</v>
      </c>
      <c r="AD92" s="98">
        <v>373263</v>
      </c>
      <c r="AE92" s="98">
        <v>365757</v>
      </c>
      <c r="AF92" s="98">
        <v>362288</v>
      </c>
      <c r="AG92" s="98"/>
      <c r="AH92" s="98"/>
      <c r="AI92" s="98"/>
    </row>
    <row r="93" spans="4:127" x14ac:dyDescent="0.25">
      <c r="D93" s="438">
        <v>202</v>
      </c>
      <c r="E93" s="439">
        <v>68227</v>
      </c>
      <c r="F93" s="440">
        <f t="shared" si="71"/>
        <v>68429</v>
      </c>
      <c r="J93" s="25" t="s">
        <v>54</v>
      </c>
      <c r="K93" s="4">
        <v>332549</v>
      </c>
      <c r="L93" s="5">
        <v>336064</v>
      </c>
      <c r="M93" s="5">
        <v>349695</v>
      </c>
      <c r="N93" s="5">
        <v>310613</v>
      </c>
      <c r="O93" s="5">
        <v>312786</v>
      </c>
      <c r="P93" s="5">
        <v>308184</v>
      </c>
      <c r="Q93" s="5">
        <v>315427</v>
      </c>
      <c r="R93" s="5">
        <v>305628</v>
      </c>
      <c r="S93" s="5">
        <v>284170</v>
      </c>
      <c r="T93" s="5">
        <v>301467</v>
      </c>
      <c r="U93" s="28">
        <v>314305</v>
      </c>
      <c r="V93" s="28">
        <v>331171</v>
      </c>
      <c r="W93" s="28">
        <v>314528</v>
      </c>
      <c r="X93" s="5">
        <v>350202</v>
      </c>
      <c r="Y93" s="5">
        <v>373863</v>
      </c>
      <c r="Z93" s="28">
        <v>388939</v>
      </c>
      <c r="AA93" s="5">
        <v>380000</v>
      </c>
      <c r="AB93" s="5">
        <v>392318.33999999997</v>
      </c>
      <c r="AC93" s="5">
        <v>412681</v>
      </c>
      <c r="AD93" s="5">
        <v>439251</v>
      </c>
      <c r="AE93" s="5">
        <v>449166</v>
      </c>
      <c r="AF93" s="5">
        <v>452181</v>
      </c>
      <c r="AG93" s="5"/>
      <c r="AH93" s="5"/>
      <c r="AI93" s="5"/>
      <c r="AY93" s="1"/>
    </row>
    <row r="94" spans="4:127" ht="15.75" thickBot="1" x14ac:dyDescent="0.3">
      <c r="D94" s="438">
        <v>21</v>
      </c>
      <c r="E94" s="439">
        <v>10257</v>
      </c>
      <c r="F94" s="440">
        <f t="shared" si="71"/>
        <v>10278</v>
      </c>
      <c r="J94" s="62" t="s">
        <v>36</v>
      </c>
      <c r="K94" s="30">
        <f t="shared" ref="K94:R94" si="77">K92+K93</f>
        <v>441236</v>
      </c>
      <c r="L94" s="148">
        <f t="shared" si="77"/>
        <v>458330</v>
      </c>
      <c r="M94" s="148">
        <f t="shared" si="77"/>
        <v>508774</v>
      </c>
      <c r="N94" s="148">
        <f t="shared" si="77"/>
        <v>563250</v>
      </c>
      <c r="O94" s="148">
        <f t="shared" si="77"/>
        <v>605040</v>
      </c>
      <c r="P94" s="148">
        <f t="shared" si="77"/>
        <v>622480</v>
      </c>
      <c r="Q94" s="148">
        <f t="shared" si="77"/>
        <v>644724</v>
      </c>
      <c r="R94" s="148">
        <f t="shared" si="77"/>
        <v>610659</v>
      </c>
      <c r="S94" s="148">
        <v>580368</v>
      </c>
      <c r="T94" s="148">
        <v>619121</v>
      </c>
      <c r="U94" s="148">
        <v>644708</v>
      </c>
      <c r="V94" s="208">
        <v>667404</v>
      </c>
      <c r="W94" s="208">
        <v>624450</v>
      </c>
      <c r="X94" s="148">
        <v>684562</v>
      </c>
      <c r="Y94" s="148">
        <v>722613</v>
      </c>
      <c r="Z94" s="208">
        <v>746517</v>
      </c>
      <c r="AA94" s="148">
        <v>728857</v>
      </c>
      <c r="AB94" s="148">
        <f>AB92+AB93</f>
        <v>733132.07</v>
      </c>
      <c r="AC94" s="169">
        <v>775629</v>
      </c>
      <c r="AD94" s="148">
        <f>AD92+AD93</f>
        <v>812514</v>
      </c>
      <c r="AE94" s="148">
        <f>AE92+AE93</f>
        <v>814923</v>
      </c>
      <c r="AF94" s="148">
        <v>814469</v>
      </c>
      <c r="AG94" s="148"/>
      <c r="AH94" s="148"/>
      <c r="AI94" s="148"/>
      <c r="AX94" s="1"/>
      <c r="AY94" s="1"/>
    </row>
    <row r="95" spans="4:127" ht="15.75" thickBot="1" x14ac:dyDescent="0.3">
      <c r="D95" s="438">
        <v>171</v>
      </c>
      <c r="E95" s="439">
        <v>20222</v>
      </c>
      <c r="F95" s="440">
        <f t="shared" si="71"/>
        <v>20393</v>
      </c>
      <c r="K95" s="27">
        <f>K92/K94*100</f>
        <v>24.632396268663481</v>
      </c>
      <c r="L95" s="27">
        <f t="shared" ref="L95:AF95" si="78">L92/L94*100</f>
        <v>26.676412192088673</v>
      </c>
      <c r="M95" s="27">
        <f t="shared" si="78"/>
        <v>31.26712449928652</v>
      </c>
      <c r="N95" s="27">
        <f t="shared" si="78"/>
        <v>44.853439857967153</v>
      </c>
      <c r="O95" s="27">
        <f t="shared" si="78"/>
        <v>48.303252677508922</v>
      </c>
      <c r="P95" s="27">
        <f t="shared" si="78"/>
        <v>50.490939467934716</v>
      </c>
      <c r="Q95" s="27">
        <f t="shared" si="78"/>
        <v>51.075654078334296</v>
      </c>
      <c r="R95" s="27">
        <f t="shared" si="78"/>
        <v>49.951118381944752</v>
      </c>
      <c r="S95" s="27">
        <f t="shared" si="78"/>
        <v>51.036239075896674</v>
      </c>
      <c r="T95" s="27">
        <f t="shared" si="78"/>
        <v>51.307256578277915</v>
      </c>
      <c r="U95" s="27">
        <f t="shared" si="78"/>
        <v>51.248472176551239</v>
      </c>
      <c r="V95" s="27">
        <f t="shared" si="78"/>
        <v>50.37923057098849</v>
      </c>
      <c r="W95" s="27">
        <f t="shared" si="78"/>
        <v>49.631195451997755</v>
      </c>
      <c r="X95" s="27">
        <f t="shared" si="78"/>
        <v>48.842909772964319</v>
      </c>
      <c r="Y95" s="27">
        <f t="shared" si="78"/>
        <v>48.262347895761629</v>
      </c>
      <c r="Z95" s="27">
        <f t="shared" si="78"/>
        <v>47.899512000396513</v>
      </c>
      <c r="AA95" s="27">
        <f t="shared" si="78"/>
        <v>47.863572689841767</v>
      </c>
      <c r="AB95" s="27">
        <f t="shared" si="78"/>
        <v>46.487358000857881</v>
      </c>
      <c r="AC95" s="27">
        <f t="shared" si="78"/>
        <v>46.794021368463525</v>
      </c>
      <c r="AD95" s="27">
        <f t="shared" si="78"/>
        <v>45.939269969502064</v>
      </c>
      <c r="AE95" s="27">
        <f t="shared" si="78"/>
        <v>44.882399932263539</v>
      </c>
      <c r="AF95" s="27">
        <f t="shared" si="78"/>
        <v>44.481496533324169</v>
      </c>
      <c r="AG95" s="27"/>
      <c r="AH95" s="27"/>
      <c r="AI95" s="27"/>
      <c r="AX95" s="1"/>
      <c r="AY95" s="1"/>
    </row>
    <row r="96" spans="4:127" ht="19.5" thickBot="1" x14ac:dyDescent="0.35">
      <c r="D96" s="438">
        <v>6</v>
      </c>
      <c r="E96" s="439">
        <v>38945</v>
      </c>
      <c r="F96" s="440">
        <f t="shared" si="71"/>
        <v>38951</v>
      </c>
      <c r="K96" s="27">
        <f>K93/K94*100</f>
        <v>75.367603731336516</v>
      </c>
      <c r="L96" s="27">
        <f t="shared" ref="L96:AB96" si="79">L93/L94*100</f>
        <v>73.323587807911323</v>
      </c>
      <c r="M96" s="27">
        <f t="shared" si="79"/>
        <v>68.732875500713476</v>
      </c>
      <c r="N96" s="27">
        <f t="shared" si="79"/>
        <v>55.14656014203284</v>
      </c>
      <c r="O96" s="27">
        <f t="shared" si="79"/>
        <v>51.696747322491078</v>
      </c>
      <c r="P96" s="27">
        <f t="shared" si="79"/>
        <v>49.509060532065284</v>
      </c>
      <c r="Q96" s="27">
        <f t="shared" si="79"/>
        <v>48.924345921665704</v>
      </c>
      <c r="R96" s="27">
        <f t="shared" si="79"/>
        <v>50.048881618055255</v>
      </c>
      <c r="S96" s="27">
        <f t="shared" si="79"/>
        <v>48.963760924103326</v>
      </c>
      <c r="T96" s="27">
        <f t="shared" si="79"/>
        <v>48.692743421722085</v>
      </c>
      <c r="U96" s="27">
        <f t="shared" si="79"/>
        <v>48.751527823448754</v>
      </c>
      <c r="V96" s="27">
        <f t="shared" si="79"/>
        <v>49.62076942901151</v>
      </c>
      <c r="W96" s="27">
        <f t="shared" si="79"/>
        <v>50.368804548002245</v>
      </c>
      <c r="X96" s="27">
        <f t="shared" si="79"/>
        <v>51.157090227035681</v>
      </c>
      <c r="Y96" s="27">
        <f t="shared" si="79"/>
        <v>51.737652104238364</v>
      </c>
      <c r="Z96" s="27">
        <f t="shared" si="79"/>
        <v>52.100487999603494</v>
      </c>
      <c r="AA96" s="27">
        <f t="shared" si="79"/>
        <v>52.136427310158226</v>
      </c>
      <c r="AB96" s="27">
        <f t="shared" si="79"/>
        <v>53.512641999142119</v>
      </c>
      <c r="AC96" s="27">
        <f>AC93/AC94*100</f>
        <v>53.205978631536468</v>
      </c>
      <c r="AD96" s="27">
        <f>AD93/AD94*100</f>
        <v>54.060730030497936</v>
      </c>
      <c r="AE96" s="27">
        <f>AE93/AE94*100</f>
        <v>55.117600067736461</v>
      </c>
      <c r="AF96" s="27">
        <f>AF93/AF94*100</f>
        <v>55.518503466675838</v>
      </c>
      <c r="AG96" s="27"/>
      <c r="AH96" s="27"/>
      <c r="AI96" s="27"/>
      <c r="AK96" s="1112" t="s">
        <v>348</v>
      </c>
      <c r="AL96" s="1113"/>
      <c r="AM96" s="1113"/>
      <c r="AN96" s="1113"/>
      <c r="AO96" s="1113"/>
      <c r="AP96" s="1113"/>
      <c r="AQ96" s="1113"/>
      <c r="AR96" s="1113"/>
      <c r="AS96" s="1113"/>
      <c r="AT96" s="1113"/>
      <c r="AU96" s="1113"/>
      <c r="AV96" s="1113"/>
      <c r="AW96" s="1113"/>
      <c r="AX96" s="1113"/>
      <c r="AY96" s="1113"/>
      <c r="AZ96" s="1113"/>
      <c r="BA96" s="1113"/>
      <c r="BB96" s="1113"/>
      <c r="BC96" s="1113"/>
      <c r="BD96" s="1113"/>
      <c r="BE96" s="1113"/>
      <c r="BF96" s="1113"/>
      <c r="BG96" s="1114"/>
    </row>
    <row r="97" spans="4:61" ht="15.75" thickBot="1" x14ac:dyDescent="0.3">
      <c r="D97" s="438">
        <v>1000</v>
      </c>
      <c r="E97" s="439">
        <v>15710</v>
      </c>
      <c r="F97" s="440">
        <f t="shared" si="71"/>
        <v>16710</v>
      </c>
      <c r="AB97" s="27">
        <f>AF94/AB94*100-100</f>
        <v>11.094444415724453</v>
      </c>
      <c r="AE97" s="27">
        <f>AE96-AE95</f>
        <v>10.235200135472923</v>
      </c>
      <c r="AF97" s="27">
        <f>AF94/AE94*100-100</f>
        <v>-5.5710784945333103E-2</v>
      </c>
      <c r="AG97" s="27">
        <f>AF96-AF95</f>
        <v>11.03700693335167</v>
      </c>
      <c r="BH97" s="86">
        <v>24.561</v>
      </c>
    </row>
    <row r="98" spans="4:61" ht="15.75" thickBot="1" x14ac:dyDescent="0.3">
      <c r="D98" s="438">
        <v>189</v>
      </c>
      <c r="E98" s="439">
        <v>15313</v>
      </c>
      <c r="F98" s="440">
        <f t="shared" si="71"/>
        <v>15502</v>
      </c>
      <c r="AG98" s="27">
        <f>AG97-AE97</f>
        <v>0.80180679787874709</v>
      </c>
      <c r="AK98" s="67" t="s">
        <v>62</v>
      </c>
      <c r="AL98" s="77" t="s">
        <v>0</v>
      </c>
      <c r="AM98" s="31" t="s">
        <v>1</v>
      </c>
      <c r="AN98" s="31" t="s">
        <v>2</v>
      </c>
      <c r="AO98" s="31" t="s">
        <v>3</v>
      </c>
      <c r="AP98" s="31" t="s">
        <v>4</v>
      </c>
      <c r="AQ98" s="31" t="s">
        <v>5</v>
      </c>
      <c r="AR98" s="31" t="s">
        <v>6</v>
      </c>
      <c r="AS98" s="31" t="s">
        <v>7</v>
      </c>
      <c r="AT98" s="31" t="s">
        <v>27</v>
      </c>
      <c r="AU98" s="31" t="s">
        <v>9</v>
      </c>
      <c r="AV98" s="31" t="s">
        <v>10</v>
      </c>
      <c r="AW98" s="79" t="s">
        <v>11</v>
      </c>
      <c r="AX98" s="94" t="s">
        <v>12</v>
      </c>
      <c r="AY98" s="35" t="s">
        <v>13</v>
      </c>
      <c r="AZ98" s="35" t="s">
        <v>14</v>
      </c>
      <c r="BA98" s="368" t="s">
        <v>15</v>
      </c>
      <c r="BB98" s="36" t="s">
        <v>16</v>
      </c>
      <c r="BC98" s="35" t="s">
        <v>17</v>
      </c>
      <c r="BD98" s="368" t="s">
        <v>18</v>
      </c>
      <c r="BE98" s="35" t="s">
        <v>19</v>
      </c>
      <c r="BF98" s="36" t="s">
        <v>20</v>
      </c>
      <c r="BG98" s="369" t="s">
        <v>202</v>
      </c>
    </row>
    <row r="99" spans="4:61" x14ac:dyDescent="0.25">
      <c r="D99" s="438">
        <v>57</v>
      </c>
      <c r="E99" s="439">
        <v>2487</v>
      </c>
      <c r="F99" s="440">
        <f t="shared" si="71"/>
        <v>2544</v>
      </c>
      <c r="K99" s="171" t="s">
        <v>0</v>
      </c>
      <c r="L99" s="94" t="s">
        <v>1</v>
      </c>
      <c r="M99" s="94" t="s">
        <v>2</v>
      </c>
      <c r="N99" s="94" t="s">
        <v>3</v>
      </c>
      <c r="O99" s="94" t="s">
        <v>4</v>
      </c>
      <c r="P99" s="94" t="s">
        <v>5</v>
      </c>
      <c r="Q99" s="94" t="s">
        <v>6</v>
      </c>
      <c r="R99" s="94" t="s">
        <v>7</v>
      </c>
      <c r="S99" s="94" t="s">
        <v>27</v>
      </c>
      <c r="T99" s="94" t="s">
        <v>9</v>
      </c>
      <c r="U99" s="94" t="s">
        <v>10</v>
      </c>
      <c r="V99" s="94" t="s">
        <v>11</v>
      </c>
      <c r="W99" s="73" t="s">
        <v>12</v>
      </c>
      <c r="X99" s="94" t="s">
        <v>13</v>
      </c>
      <c r="Y99" s="94" t="s">
        <v>14</v>
      </c>
      <c r="Z99" s="73" t="s">
        <v>15</v>
      </c>
      <c r="AA99" s="94" t="s">
        <v>16</v>
      </c>
      <c r="AB99" s="75" t="s">
        <v>17</v>
      </c>
      <c r="AC99" s="75" t="s">
        <v>18</v>
      </c>
      <c r="AD99" s="75" t="s">
        <v>19</v>
      </c>
      <c r="AE99" s="94" t="s">
        <v>20</v>
      </c>
      <c r="AF99" s="94" t="s">
        <v>202</v>
      </c>
      <c r="AG99" s="94" t="s">
        <v>21</v>
      </c>
      <c r="AH99" s="94" t="s">
        <v>22</v>
      </c>
      <c r="AI99" s="94" t="s">
        <v>203</v>
      </c>
      <c r="AK99" s="441" t="s">
        <v>34</v>
      </c>
      <c r="AL99" s="359">
        <v>23090</v>
      </c>
      <c r="AM99" s="359">
        <v>29452</v>
      </c>
      <c r="AN99" s="359">
        <v>33547</v>
      </c>
      <c r="AO99" s="359">
        <v>30680</v>
      </c>
      <c r="AP99" s="359">
        <v>34980</v>
      </c>
      <c r="AQ99" s="359">
        <v>37545</v>
      </c>
      <c r="AR99" s="359">
        <v>43186</v>
      </c>
      <c r="AS99" s="359">
        <v>32698</v>
      </c>
      <c r="AT99" s="359">
        <v>30001</v>
      </c>
      <c r="AU99" s="359">
        <v>30001</v>
      </c>
      <c r="AV99" s="359">
        <v>28814</v>
      </c>
      <c r="AW99" s="360">
        <v>29861</v>
      </c>
      <c r="AX99" s="360">
        <v>30951</v>
      </c>
      <c r="AY99" s="80">
        <v>30368</v>
      </c>
      <c r="AZ99" s="359">
        <v>35314</v>
      </c>
      <c r="BA99" s="360">
        <v>38616</v>
      </c>
      <c r="BB99" s="360">
        <v>32660</v>
      </c>
      <c r="BC99" s="359">
        <f>'[15]2020. I. Állomány adatok'!C18+'[15]2020. I. Állomány adatok'!J18</f>
        <v>35330</v>
      </c>
      <c r="BD99" s="442">
        <f>'[15]2020. II. Állományi adatok'!C18+'[15]2020. II. Állományi adatok'!K18</f>
        <v>22349</v>
      </c>
      <c r="BE99" s="80">
        <f>'[15]2020. III. Állományi adatok'!C18+'[15]2020. III. Állományi adatok'!K18</f>
        <v>23533</v>
      </c>
      <c r="BF99" s="360">
        <f>'[15]2020. IV. Állományi adatok'!C18+'[15]2020. IV. Állományi adatok'!K18</f>
        <v>22760</v>
      </c>
      <c r="BG99" s="443">
        <f>'[15]2021. I. Állományi adatok'!C18+'[15]2021. I. Állományi adatok'!K18</f>
        <v>24561</v>
      </c>
      <c r="BH99">
        <f>BG99/BC99*100-100</f>
        <v>-30.4811774695726</v>
      </c>
      <c r="BI99" s="1">
        <f>BG99-BC99</f>
        <v>-10769</v>
      </c>
    </row>
    <row r="100" spans="4:61" ht="15.75" thickBot="1" x14ac:dyDescent="0.3">
      <c r="D100" s="438">
        <v>502</v>
      </c>
      <c r="E100" s="439">
        <v>17808</v>
      </c>
      <c r="F100" s="440">
        <f t="shared" si="71"/>
        <v>18310</v>
      </c>
      <c r="J100" t="s">
        <v>50</v>
      </c>
      <c r="K100" s="27">
        <v>24.632396268663481</v>
      </c>
      <c r="L100" s="27">
        <v>26.676412192088673</v>
      </c>
      <c r="M100" s="27">
        <v>31.26712449928652</v>
      </c>
      <c r="N100" s="27">
        <v>44.853439857967153</v>
      </c>
      <c r="O100" s="27">
        <v>48.303252677508922</v>
      </c>
      <c r="P100" s="27">
        <v>50.490939467934716</v>
      </c>
      <c r="Q100" s="27">
        <v>51.075654078334296</v>
      </c>
      <c r="R100" s="27">
        <v>49.951118381944752</v>
      </c>
      <c r="S100" s="27">
        <v>51.036239075896674</v>
      </c>
      <c r="T100" s="27">
        <v>51.307256578277915</v>
      </c>
      <c r="U100" s="27">
        <v>51.248472176551239</v>
      </c>
      <c r="V100" s="27">
        <v>50.37923057098849</v>
      </c>
      <c r="W100" s="27">
        <v>49.631195451997755</v>
      </c>
      <c r="X100" s="27">
        <v>48.842909772964319</v>
      </c>
      <c r="Y100" s="27">
        <v>48.262347895761629</v>
      </c>
      <c r="Z100" s="27">
        <v>47.899512000396513</v>
      </c>
      <c r="AA100" s="27">
        <v>47.863572689841767</v>
      </c>
      <c r="AB100" s="27">
        <v>46.487358000857881</v>
      </c>
      <c r="AC100" s="27">
        <v>46.794021368463525</v>
      </c>
      <c r="AD100" s="27">
        <v>45.939269969502064</v>
      </c>
      <c r="AE100" s="27">
        <v>44.882399932263539</v>
      </c>
      <c r="AF100" s="27">
        <v>44.48</v>
      </c>
      <c r="AG100" s="27"/>
      <c r="AH100" s="27"/>
      <c r="AI100" s="27"/>
      <c r="AK100" s="69" t="s">
        <v>35</v>
      </c>
      <c r="AL100" s="282">
        <v>98889</v>
      </c>
      <c r="AM100" s="282">
        <v>102280</v>
      </c>
      <c r="AN100" s="282">
        <v>106653</v>
      </c>
      <c r="AO100" s="282">
        <v>94780</v>
      </c>
      <c r="AP100" s="282">
        <v>93617</v>
      </c>
      <c r="AQ100" s="282">
        <v>90325</v>
      </c>
      <c r="AR100" s="282">
        <v>88621</v>
      </c>
      <c r="AS100" s="282">
        <v>81969</v>
      </c>
      <c r="AT100" s="282">
        <v>75165</v>
      </c>
      <c r="AU100" s="282">
        <v>75165</v>
      </c>
      <c r="AV100" s="282">
        <v>75575</v>
      </c>
      <c r="AW100" s="283">
        <v>81057</v>
      </c>
      <c r="AX100" s="283">
        <v>78072</v>
      </c>
      <c r="AY100" s="282">
        <v>84584</v>
      </c>
      <c r="AZ100" s="282">
        <v>91299</v>
      </c>
      <c r="BA100" s="283">
        <v>95537</v>
      </c>
      <c r="BB100" s="283">
        <v>92238</v>
      </c>
      <c r="BC100" s="282">
        <f>'[15]2020. I. Állomány adatok'!C65+'[15]2020. I. Állomány adatok'!K65</f>
        <v>97482</v>
      </c>
      <c r="BD100" s="444">
        <f>'[15]2020. II. Állományi adatok'!C65+'[15]2020. II. Állományi adatok'!K65</f>
        <v>99315</v>
      </c>
      <c r="BE100" s="282">
        <f>'[15]2020. III. Állományi adatok'!C65+'[15]2020. III. Állományi adatok'!K65</f>
        <v>115433</v>
      </c>
      <c r="BF100" s="283">
        <f>'[15]2020. IV. Állományi adatok'!C65+'[15]2020. IV. Állományi adatok'!K65</f>
        <v>123472</v>
      </c>
      <c r="BG100" s="445">
        <f>'[15]2021. I. Állományi adatok'!C65+'[15]2021. I. Állományi adatok'!K65</f>
        <v>119962</v>
      </c>
      <c r="BI100" s="86">
        <v>-10.769</v>
      </c>
    </row>
    <row r="101" spans="4:61" x14ac:dyDescent="0.25">
      <c r="D101" s="438">
        <v>25</v>
      </c>
      <c r="E101" s="439">
        <v>2552</v>
      </c>
      <c r="F101" s="440">
        <f t="shared" si="71"/>
        <v>2577</v>
      </c>
      <c r="J101" t="s">
        <v>51</v>
      </c>
      <c r="K101" s="27">
        <v>75.367603731336516</v>
      </c>
      <c r="L101" s="27">
        <v>73.323587807911323</v>
      </c>
      <c r="M101" s="27">
        <v>68.732875500713476</v>
      </c>
      <c r="N101" s="27">
        <v>55.14656014203284</v>
      </c>
      <c r="O101" s="27">
        <v>51.696747322491078</v>
      </c>
      <c r="P101" s="27">
        <v>49.509060532065284</v>
      </c>
      <c r="Q101" s="27">
        <v>48.924345921665704</v>
      </c>
      <c r="R101" s="27">
        <v>50.048881618055255</v>
      </c>
      <c r="S101" s="27">
        <v>48.963760924103326</v>
      </c>
      <c r="T101" s="27">
        <v>48.692743421722085</v>
      </c>
      <c r="U101" s="27">
        <v>48.751527823448754</v>
      </c>
      <c r="V101" s="27">
        <v>49.62076942901151</v>
      </c>
      <c r="W101" s="27">
        <v>50.368804548002245</v>
      </c>
      <c r="X101" s="27">
        <v>51.157090227035681</v>
      </c>
      <c r="Y101" s="27">
        <v>51.737652104238364</v>
      </c>
      <c r="Z101" s="27">
        <v>52.100487999603494</v>
      </c>
      <c r="AA101" s="27">
        <v>52.136427310158226</v>
      </c>
      <c r="AB101" s="27">
        <v>53.512641999142119</v>
      </c>
      <c r="AC101" s="27">
        <v>53.205978631536468</v>
      </c>
      <c r="AD101" s="27">
        <v>54.060730030497936</v>
      </c>
      <c r="AE101" s="27">
        <v>55.117600067736461</v>
      </c>
      <c r="AF101" s="27">
        <v>55.52</v>
      </c>
      <c r="AG101" s="27"/>
      <c r="AH101" s="27"/>
      <c r="AI101" s="27"/>
      <c r="AK101" s="286" t="s">
        <v>349</v>
      </c>
      <c r="AL101" s="287">
        <f>AL99/AL103*100</f>
        <v>18.929487862664885</v>
      </c>
      <c r="AM101" s="220">
        <f t="shared" ref="AM101:BG101" si="80">AM99/AM103*100</f>
        <v>22.357513740017612</v>
      </c>
      <c r="AN101" s="220">
        <f t="shared" si="80"/>
        <v>23.927960057061341</v>
      </c>
      <c r="AO101" s="220">
        <f t="shared" si="80"/>
        <v>24.454009245974813</v>
      </c>
      <c r="AP101" s="220">
        <f t="shared" si="80"/>
        <v>27.201256638957361</v>
      </c>
      <c r="AQ101" s="220">
        <f t="shared" si="80"/>
        <v>29.361851880816452</v>
      </c>
      <c r="AR101" s="220">
        <f t="shared" si="80"/>
        <v>32.764572443041715</v>
      </c>
      <c r="AS101" s="220">
        <f t="shared" si="80"/>
        <v>28.515614780189591</v>
      </c>
      <c r="AT101" s="220">
        <f t="shared" si="80"/>
        <v>28.527280680067701</v>
      </c>
      <c r="AU101" s="220">
        <f t="shared" si="80"/>
        <v>28.527280680067701</v>
      </c>
      <c r="AV101" s="220">
        <f t="shared" si="80"/>
        <v>27.602525170276561</v>
      </c>
      <c r="AW101" s="288">
        <f t="shared" si="80"/>
        <v>26.921689897041055</v>
      </c>
      <c r="AX101" s="288">
        <f t="shared" si="80"/>
        <v>28.38942241545362</v>
      </c>
      <c r="AY101" s="288">
        <f t="shared" si="80"/>
        <v>26.417983158187763</v>
      </c>
      <c r="AZ101" s="288">
        <f t="shared" si="80"/>
        <v>27.891290783726792</v>
      </c>
      <c r="BA101" s="288">
        <f t="shared" si="80"/>
        <v>28.785043942364315</v>
      </c>
      <c r="BB101" s="288">
        <f t="shared" si="80"/>
        <v>26.14933785969351</v>
      </c>
      <c r="BC101" s="288">
        <f t="shared" si="80"/>
        <v>26.601511911574256</v>
      </c>
      <c r="BD101" s="288">
        <f t="shared" si="80"/>
        <v>18.369443713834823</v>
      </c>
      <c r="BE101" s="288">
        <f t="shared" si="80"/>
        <v>16.934358044413742</v>
      </c>
      <c r="BF101" s="288">
        <f t="shared" si="80"/>
        <v>15.564308769626347</v>
      </c>
      <c r="BG101" s="221">
        <f t="shared" si="80"/>
        <v>16.99452682272026</v>
      </c>
    </row>
    <row r="102" spans="4:61" ht="15.75" thickBot="1" x14ac:dyDescent="0.3">
      <c r="D102" s="438">
        <v>1357</v>
      </c>
      <c r="E102" s="439">
        <v>181675</v>
      </c>
      <c r="F102" s="440">
        <f t="shared" si="71"/>
        <v>183032</v>
      </c>
      <c r="Y102" s="27"/>
      <c r="Z102" s="1"/>
      <c r="AK102" s="290" t="s">
        <v>350</v>
      </c>
      <c r="AL102" s="291">
        <f>AL100/AL103*100</f>
        <v>81.070512137335115</v>
      </c>
      <c r="AM102" s="292">
        <f t="shared" ref="AM102:BG102" si="81">AM100/AM103*100</f>
        <v>77.642486259982391</v>
      </c>
      <c r="AN102" s="292">
        <f t="shared" si="81"/>
        <v>76.072039942938659</v>
      </c>
      <c r="AO102" s="292">
        <f t="shared" si="81"/>
        <v>75.545990754025183</v>
      </c>
      <c r="AP102" s="292">
        <f t="shared" si="81"/>
        <v>72.798743361042639</v>
      </c>
      <c r="AQ102" s="292">
        <f t="shared" si="81"/>
        <v>70.638148119183541</v>
      </c>
      <c r="AR102" s="292">
        <f t="shared" si="81"/>
        <v>67.235427556958285</v>
      </c>
      <c r="AS102" s="292">
        <f t="shared" si="81"/>
        <v>71.484385219810406</v>
      </c>
      <c r="AT102" s="292">
        <f t="shared" si="81"/>
        <v>71.472719319932295</v>
      </c>
      <c r="AU102" s="292">
        <f t="shared" si="81"/>
        <v>71.472719319932295</v>
      </c>
      <c r="AV102" s="292">
        <f t="shared" si="81"/>
        <v>72.397474829723436</v>
      </c>
      <c r="AW102" s="293">
        <f t="shared" si="81"/>
        <v>73.078310102958937</v>
      </c>
      <c r="AX102" s="293">
        <f t="shared" si="81"/>
        <v>71.610577584546377</v>
      </c>
      <c r="AY102" s="293">
        <f t="shared" si="81"/>
        <v>73.582016841812234</v>
      </c>
      <c r="AZ102" s="293">
        <f t="shared" si="81"/>
        <v>72.108709216273212</v>
      </c>
      <c r="BA102" s="293">
        <f t="shared" si="81"/>
        <v>71.214956057635675</v>
      </c>
      <c r="BB102" s="293">
        <f t="shared" si="81"/>
        <v>73.850662140306483</v>
      </c>
      <c r="BC102" s="293">
        <f t="shared" si="81"/>
        <v>73.398488088425736</v>
      </c>
      <c r="BD102" s="293">
        <f t="shared" si="81"/>
        <v>81.630556286165174</v>
      </c>
      <c r="BE102" s="293">
        <f t="shared" si="81"/>
        <v>83.065641955586258</v>
      </c>
      <c r="BF102" s="293">
        <f t="shared" si="81"/>
        <v>84.435691230373649</v>
      </c>
      <c r="BG102" s="427">
        <f t="shared" si="81"/>
        <v>83.00547317727974</v>
      </c>
    </row>
    <row r="103" spans="4:61" x14ac:dyDescent="0.25">
      <c r="D103" s="446">
        <f>SUM(D89:D102)</f>
        <v>4079</v>
      </c>
      <c r="E103" s="446">
        <v>491893</v>
      </c>
      <c r="F103" s="446">
        <f t="shared" si="71"/>
        <v>495972</v>
      </c>
      <c r="AA103" s="27">
        <f>AA100-W100</f>
        <v>-1.7676227621559875</v>
      </c>
      <c r="AB103" s="27"/>
      <c r="AC103" s="27"/>
      <c r="AD103" s="27"/>
      <c r="AE103" s="27"/>
      <c r="AF103" s="27"/>
      <c r="AG103" s="27"/>
      <c r="AH103" s="27"/>
      <c r="AI103" s="27"/>
      <c r="AK103" s="294" t="s">
        <v>351</v>
      </c>
      <c r="AL103" s="370">
        <f t="shared" ref="AL103:BG103" si="82">AL99+AL100</f>
        <v>121979</v>
      </c>
      <c r="AM103" s="371">
        <f t="shared" si="82"/>
        <v>131732</v>
      </c>
      <c r="AN103" s="371">
        <f t="shared" si="82"/>
        <v>140200</v>
      </c>
      <c r="AO103" s="371">
        <f t="shared" si="82"/>
        <v>125460</v>
      </c>
      <c r="AP103" s="371">
        <f t="shared" si="82"/>
        <v>128597</v>
      </c>
      <c r="AQ103" s="371">
        <f t="shared" si="82"/>
        <v>127870</v>
      </c>
      <c r="AR103" s="371">
        <f t="shared" si="82"/>
        <v>131807</v>
      </c>
      <c r="AS103" s="371">
        <f t="shared" si="82"/>
        <v>114667</v>
      </c>
      <c r="AT103" s="371">
        <f t="shared" si="82"/>
        <v>105166</v>
      </c>
      <c r="AU103" s="371">
        <f t="shared" si="82"/>
        <v>105166</v>
      </c>
      <c r="AV103" s="371">
        <f t="shared" si="82"/>
        <v>104389</v>
      </c>
      <c r="AW103" s="371">
        <f t="shared" si="82"/>
        <v>110918</v>
      </c>
      <c r="AX103" s="371">
        <f t="shared" si="82"/>
        <v>109023</v>
      </c>
      <c r="AY103" s="371">
        <f t="shared" si="82"/>
        <v>114952</v>
      </c>
      <c r="AZ103" s="371">
        <f t="shared" si="82"/>
        <v>126613</v>
      </c>
      <c r="BA103" s="372">
        <f t="shared" si="82"/>
        <v>134153</v>
      </c>
      <c r="BB103" s="372">
        <f t="shared" si="82"/>
        <v>124898</v>
      </c>
      <c r="BC103" s="372">
        <f t="shared" si="82"/>
        <v>132812</v>
      </c>
      <c r="BD103" s="372">
        <f t="shared" si="82"/>
        <v>121664</v>
      </c>
      <c r="BE103" s="372">
        <f t="shared" si="82"/>
        <v>138966</v>
      </c>
      <c r="BF103" s="372">
        <f t="shared" si="82"/>
        <v>146232</v>
      </c>
      <c r="BG103" s="447">
        <f t="shared" si="82"/>
        <v>144523</v>
      </c>
    </row>
    <row r="104" spans="4:61" x14ac:dyDescent="0.25">
      <c r="AA104" s="27">
        <f>AA101-W101</f>
        <v>1.7676227621559804</v>
      </c>
      <c r="AB104" s="27"/>
      <c r="AC104" s="27"/>
      <c r="AD104" s="27"/>
      <c r="AE104" s="27"/>
      <c r="AF104" s="27"/>
      <c r="AG104" s="27"/>
      <c r="AH104" s="27"/>
      <c r="AI104" s="27"/>
      <c r="AK104" s="448" t="s">
        <v>352</v>
      </c>
      <c r="AL104" s="449">
        <f>AL103/AL105*100</f>
        <v>27.644843122501339</v>
      </c>
      <c r="AM104" s="449">
        <f t="shared" ref="AM104:BD104" si="83">AM103/AM105*100</f>
        <v>28.741736303536751</v>
      </c>
      <c r="AN104" s="449">
        <f t="shared" si="83"/>
        <v>27.556439597935427</v>
      </c>
      <c r="AO104" s="449">
        <f t="shared" si="83"/>
        <v>22.274300932090547</v>
      </c>
      <c r="AP104" s="449">
        <f t="shared" si="83"/>
        <v>21.254297236546343</v>
      </c>
      <c r="AQ104" s="449">
        <f t="shared" si="83"/>
        <v>20.542025446600697</v>
      </c>
      <c r="AR104" s="449">
        <f t="shared" si="83"/>
        <v>20.44394190382241</v>
      </c>
      <c r="AS104" s="449">
        <f t="shared" si="83"/>
        <v>18.777582906335613</v>
      </c>
      <c r="AT104" s="449">
        <f t="shared" si="83"/>
        <v>18.120571775149561</v>
      </c>
      <c r="AU104" s="449">
        <f t="shared" si="83"/>
        <v>16.986340311506151</v>
      </c>
      <c r="AV104" s="449">
        <f t="shared" si="83"/>
        <v>16.191671268233058</v>
      </c>
      <c r="AW104" s="450">
        <f t="shared" si="83"/>
        <v>16.619319033149338</v>
      </c>
      <c r="AX104" s="450">
        <f t="shared" si="83"/>
        <v>17.459043958683644</v>
      </c>
      <c r="AY104" s="450">
        <f t="shared" si="83"/>
        <v>16.792050975660349</v>
      </c>
      <c r="AZ104" s="450">
        <f t="shared" si="83"/>
        <v>17.521550262727075</v>
      </c>
      <c r="BA104" s="451">
        <f t="shared" si="83"/>
        <v>17.970521769765458</v>
      </c>
      <c r="BB104" s="451">
        <f t="shared" si="83"/>
        <v>17.136146047853007</v>
      </c>
      <c r="BC104" s="451">
        <f t="shared" si="83"/>
        <v>18.115699126352503</v>
      </c>
      <c r="BD104" s="451">
        <f t="shared" si="83"/>
        <v>15.685849807059817</v>
      </c>
      <c r="BE104" s="451">
        <f>BE103/BE105*100</f>
        <v>17.103212990791544</v>
      </c>
      <c r="BF104" s="451">
        <f>BF103/BF105*100</f>
        <v>17.944272035517468</v>
      </c>
      <c r="BG104" s="225">
        <f>BG103/BG105*100</f>
        <v>17.744444539939519</v>
      </c>
    </row>
    <row r="105" spans="4:61" x14ac:dyDescent="0.25">
      <c r="R105" s="147"/>
      <c r="AK105" s="452" t="s">
        <v>36</v>
      </c>
      <c r="AL105" s="453">
        <v>441236</v>
      </c>
      <c r="AM105" s="453">
        <v>458330</v>
      </c>
      <c r="AN105" s="453">
        <v>508774</v>
      </c>
      <c r="AO105" s="453">
        <v>563250</v>
      </c>
      <c r="AP105" s="453">
        <v>605040</v>
      </c>
      <c r="AQ105" s="453">
        <v>622480</v>
      </c>
      <c r="AR105" s="453">
        <v>644724</v>
      </c>
      <c r="AS105" s="453">
        <v>610659</v>
      </c>
      <c r="AT105" s="453">
        <v>580368</v>
      </c>
      <c r="AU105" s="453">
        <v>619121</v>
      </c>
      <c r="AV105" s="453">
        <v>644708</v>
      </c>
      <c r="AW105" s="454">
        <v>667404</v>
      </c>
      <c r="AX105" s="454">
        <v>624450</v>
      </c>
      <c r="AY105" s="304">
        <v>684562</v>
      </c>
      <c r="AZ105" s="304">
        <v>722613</v>
      </c>
      <c r="BA105" s="305">
        <v>746517</v>
      </c>
      <c r="BB105" s="305">
        <v>728857</v>
      </c>
      <c r="BC105" s="304">
        <v>733132.07</v>
      </c>
      <c r="BD105" s="305">
        <v>775629</v>
      </c>
      <c r="BE105" s="304">
        <v>812514</v>
      </c>
      <c r="BF105" s="305">
        <v>814923</v>
      </c>
      <c r="BG105" s="455">
        <v>814469</v>
      </c>
    </row>
    <row r="106" spans="4:61" x14ac:dyDescent="0.25">
      <c r="N106" s="1"/>
      <c r="O106" s="1"/>
      <c r="P106" s="1"/>
      <c r="Q106" s="1"/>
      <c r="R106" s="1"/>
      <c r="AK106" s="25" t="s">
        <v>353</v>
      </c>
      <c r="AL106" s="456">
        <v>0</v>
      </c>
      <c r="AM106" s="14">
        <f>AM103/AL103*100-100</f>
        <v>7.9956385935283834</v>
      </c>
      <c r="AN106" s="14">
        <f t="shared" ref="AN106:AV106" si="84">AN103/AM103*100-100</f>
        <v>6.4282027146023779</v>
      </c>
      <c r="AO106" s="14">
        <f t="shared" si="84"/>
        <v>-10.513552068473615</v>
      </c>
      <c r="AP106" s="14">
        <f t="shared" si="84"/>
        <v>2.5003985333971031</v>
      </c>
      <c r="AQ106" s="14">
        <f t="shared" si="84"/>
        <v>-0.56533200618987678</v>
      </c>
      <c r="AR106" s="14">
        <f t="shared" si="84"/>
        <v>3.0789082662078755</v>
      </c>
      <c r="AS106" s="14">
        <f t="shared" si="84"/>
        <v>-13.003861706889623</v>
      </c>
      <c r="AT106" s="14">
        <f t="shared" si="84"/>
        <v>-8.2857317275240518</v>
      </c>
      <c r="AU106" s="14">
        <f t="shared" si="84"/>
        <v>0</v>
      </c>
      <c r="AV106" s="14">
        <f t="shared" si="84"/>
        <v>-0.73883194188235279</v>
      </c>
      <c r="AW106" s="29">
        <f>AW103/AV103*100-100</f>
        <v>6.254490415656818</v>
      </c>
      <c r="AX106" s="29">
        <f>AX103/AW103*100-100</f>
        <v>-1.7084693196775902</v>
      </c>
      <c r="AY106" s="29">
        <f>AY103/AW103*100-100</f>
        <v>3.6369209686434942</v>
      </c>
      <c r="AZ106" s="29">
        <f t="shared" ref="AZ106:BG106" si="85">AZ103/AY103*100-100</f>
        <v>10.144234115108915</v>
      </c>
      <c r="BA106" s="310">
        <f t="shared" si="85"/>
        <v>5.9551546839581988</v>
      </c>
      <c r="BB106" s="310">
        <f t="shared" si="85"/>
        <v>-6.8988393848814411</v>
      </c>
      <c r="BC106" s="310">
        <f t="shared" si="85"/>
        <v>6.3363704783103003</v>
      </c>
      <c r="BD106" s="310">
        <f t="shared" si="85"/>
        <v>-8.393819835557025</v>
      </c>
      <c r="BE106" s="310">
        <f t="shared" si="85"/>
        <v>14.221133613887432</v>
      </c>
      <c r="BF106" s="310">
        <f t="shared" si="85"/>
        <v>5.228617071801736</v>
      </c>
      <c r="BG106" s="457">
        <f t="shared" si="85"/>
        <v>-1.1686908474205353</v>
      </c>
    </row>
    <row r="107" spans="4:61" x14ac:dyDescent="0.25">
      <c r="N107" s="1"/>
      <c r="O107" s="1"/>
      <c r="P107" s="1"/>
      <c r="Q107" s="1"/>
      <c r="R107" s="1"/>
      <c r="AK107" s="15" t="s">
        <v>312</v>
      </c>
      <c r="AL107" s="458">
        <f>AL99/AL105*100</f>
        <v>5.2330272235266388</v>
      </c>
      <c r="AM107" s="458">
        <f t="shared" ref="AM107:AV107" si="86">AM99/AM105*100</f>
        <v>6.4259376431828592</v>
      </c>
      <c r="AN107" s="458">
        <f t="shared" si="86"/>
        <v>6.5936938601422241</v>
      </c>
      <c r="AO107" s="458">
        <f t="shared" si="86"/>
        <v>5.4469596094096762</v>
      </c>
      <c r="AP107" s="458">
        <f t="shared" si="86"/>
        <v>5.7814359381197935</v>
      </c>
      <c r="AQ107" s="458">
        <f t="shared" si="86"/>
        <v>6.0315190849505207</v>
      </c>
      <c r="AR107" s="458">
        <f t="shared" si="86"/>
        <v>6.6983701552912569</v>
      </c>
      <c r="AS107" s="458">
        <f t="shared" si="86"/>
        <v>5.3545432066013925</v>
      </c>
      <c r="AT107" s="458">
        <f t="shared" si="86"/>
        <v>5.169306371130042</v>
      </c>
      <c r="AU107" s="458">
        <f t="shared" si="86"/>
        <v>4.8457409779348461</v>
      </c>
      <c r="AV107" s="458">
        <f t="shared" si="86"/>
        <v>4.4693101373024691</v>
      </c>
      <c r="AW107" s="459">
        <f>AW99/AW105*100</f>
        <v>4.4742015331043863</v>
      </c>
      <c r="AX107" s="459">
        <f>AX99/AX105*100</f>
        <v>4.9565217391304346</v>
      </c>
      <c r="AY107" s="459">
        <f t="shared" ref="AY107:BG107" si="87">AY99/AY105*100</f>
        <v>4.4361211986642557</v>
      </c>
      <c r="AZ107" s="459">
        <f t="shared" si="87"/>
        <v>4.8869865335940537</v>
      </c>
      <c r="BA107" s="29">
        <f t="shared" si="87"/>
        <v>5.1728225880991321</v>
      </c>
      <c r="BB107" s="29">
        <f t="shared" si="87"/>
        <v>4.4809887261835994</v>
      </c>
      <c r="BC107" s="29">
        <f t="shared" si="87"/>
        <v>4.8190498609616137</v>
      </c>
      <c r="BD107" s="29">
        <f t="shared" si="87"/>
        <v>2.8814033513445216</v>
      </c>
      <c r="BE107" s="29">
        <f t="shared" si="87"/>
        <v>2.8963193249593235</v>
      </c>
      <c r="BF107" s="29">
        <f t="shared" si="87"/>
        <v>2.7929019060696532</v>
      </c>
      <c r="BG107" s="211">
        <f t="shared" si="87"/>
        <v>3.0155843868827423</v>
      </c>
    </row>
    <row r="108" spans="4:61" ht="15.75" thickBot="1" x14ac:dyDescent="0.3">
      <c r="AK108" s="15" t="s">
        <v>313</v>
      </c>
      <c r="AL108" s="460">
        <f>AL100/AL105*100</f>
        <v>22.411815898974698</v>
      </c>
      <c r="AM108" s="460">
        <f t="shared" ref="AM108:BG108" si="88">AM100/AM105*100</f>
        <v>22.315798660353895</v>
      </c>
      <c r="AN108" s="460">
        <f t="shared" si="88"/>
        <v>20.962745737793202</v>
      </c>
      <c r="AO108" s="460">
        <f t="shared" si="88"/>
        <v>16.827341322680869</v>
      </c>
      <c r="AP108" s="460">
        <f t="shared" si="88"/>
        <v>15.472861298426549</v>
      </c>
      <c r="AQ108" s="460">
        <f t="shared" si="88"/>
        <v>14.510506361650174</v>
      </c>
      <c r="AR108" s="460">
        <f t="shared" si="88"/>
        <v>13.745571748531155</v>
      </c>
      <c r="AS108" s="460">
        <f t="shared" si="88"/>
        <v>13.423039699734222</v>
      </c>
      <c r="AT108" s="460">
        <f t="shared" si="88"/>
        <v>12.951265404019519</v>
      </c>
      <c r="AU108" s="460">
        <f t="shared" si="88"/>
        <v>12.140599333571304</v>
      </c>
      <c r="AV108" s="460">
        <f t="shared" si="88"/>
        <v>11.722361130930592</v>
      </c>
      <c r="AW108" s="461">
        <f t="shared" si="88"/>
        <v>12.14511750004495</v>
      </c>
      <c r="AX108" s="461">
        <f t="shared" si="88"/>
        <v>12.502522219553208</v>
      </c>
      <c r="AY108" s="461">
        <f t="shared" si="88"/>
        <v>12.355929776996094</v>
      </c>
      <c r="AZ108" s="461">
        <f t="shared" si="88"/>
        <v>12.634563729133022</v>
      </c>
      <c r="BA108" s="462">
        <f t="shared" si="88"/>
        <v>12.797699181666324</v>
      </c>
      <c r="BB108" s="462">
        <f t="shared" si="88"/>
        <v>12.655157321669408</v>
      </c>
      <c r="BC108" s="462">
        <f t="shared" si="88"/>
        <v>13.296649265390887</v>
      </c>
      <c r="BD108" s="462">
        <f t="shared" si="88"/>
        <v>12.804446455715295</v>
      </c>
      <c r="BE108" s="462">
        <f t="shared" si="88"/>
        <v>14.206893665832219</v>
      </c>
      <c r="BF108" s="462">
        <f t="shared" si="88"/>
        <v>15.151370129447814</v>
      </c>
      <c r="BG108" s="463">
        <f t="shared" si="88"/>
        <v>14.728860153056777</v>
      </c>
    </row>
    <row r="109" spans="4:61" ht="15.75" thickBot="1" x14ac:dyDescent="0.3">
      <c r="AK109" s="325" t="s">
        <v>26</v>
      </c>
      <c r="AL109" s="464">
        <v>825056</v>
      </c>
      <c r="AM109" s="465">
        <v>848204</v>
      </c>
      <c r="AN109" s="465">
        <v>924696</v>
      </c>
      <c r="AO109" s="465">
        <v>985514</v>
      </c>
      <c r="AP109" s="465">
        <v>997791</v>
      </c>
      <c r="AQ109" s="465">
        <v>1005984</v>
      </c>
      <c r="AR109" s="465">
        <v>1073238</v>
      </c>
      <c r="AS109" s="465">
        <v>1070624</v>
      </c>
      <c r="AT109" s="465">
        <v>1030760</v>
      </c>
      <c r="AU109" s="465">
        <v>1072544</v>
      </c>
      <c r="AV109" s="466">
        <v>1109892</v>
      </c>
      <c r="AW109" s="466">
        <v>1163376</v>
      </c>
      <c r="AX109" s="466">
        <v>1129593</v>
      </c>
      <c r="AY109" s="465">
        <v>1205011</v>
      </c>
      <c r="AZ109" s="465">
        <v>1233423</v>
      </c>
      <c r="BA109" s="466">
        <v>1292983</v>
      </c>
      <c r="BB109" s="466">
        <v>1269580</v>
      </c>
      <c r="BC109" s="465">
        <v>1292276.71</v>
      </c>
      <c r="BD109" s="466">
        <v>1306049</v>
      </c>
      <c r="BE109" s="465">
        <v>1405757</v>
      </c>
      <c r="BF109" s="466">
        <v>1431391</v>
      </c>
      <c r="BG109" s="467">
        <v>1435198</v>
      </c>
    </row>
    <row r="110" spans="4:61" ht="15.75" thickBot="1" x14ac:dyDescent="0.3">
      <c r="AK110" s="8" t="s">
        <v>354</v>
      </c>
      <c r="AL110" s="9">
        <f>AL103/AL109*100</f>
        <v>14.784329790947522</v>
      </c>
      <c r="AM110" s="9">
        <f t="shared" ref="AM110:BG110" si="89">AM103/AM109*100</f>
        <v>15.530697803830209</v>
      </c>
      <c r="AN110" s="9">
        <f t="shared" si="89"/>
        <v>15.161739642001262</v>
      </c>
      <c r="AO110" s="9">
        <f t="shared" si="89"/>
        <v>12.730412759230209</v>
      </c>
      <c r="AP110" s="9">
        <f t="shared" si="89"/>
        <v>12.888169967458115</v>
      </c>
      <c r="AQ110" s="9">
        <f t="shared" si="89"/>
        <v>12.710937748512899</v>
      </c>
      <c r="AR110" s="9">
        <f t="shared" si="89"/>
        <v>12.281246098255933</v>
      </c>
      <c r="AS110" s="9">
        <f t="shared" si="89"/>
        <v>10.710296051648385</v>
      </c>
      <c r="AT110" s="9">
        <f t="shared" si="89"/>
        <v>10.202763009817998</v>
      </c>
      <c r="AU110" s="9">
        <f t="shared" si="89"/>
        <v>9.8052853775695912</v>
      </c>
      <c r="AV110" s="9">
        <f t="shared" si="89"/>
        <v>9.4053295275576367</v>
      </c>
      <c r="AW110" s="337">
        <f t="shared" si="89"/>
        <v>9.5341488908143202</v>
      </c>
      <c r="AX110" s="337">
        <f t="shared" si="89"/>
        <v>9.6515293561486306</v>
      </c>
      <c r="AY110" s="337">
        <f t="shared" si="89"/>
        <v>9.5394979796864927</v>
      </c>
      <c r="AZ110" s="337">
        <f t="shared" si="89"/>
        <v>10.265172613126234</v>
      </c>
      <c r="BA110" s="193">
        <f t="shared" si="89"/>
        <v>10.375465106656467</v>
      </c>
      <c r="BB110" s="193">
        <f t="shared" si="89"/>
        <v>9.8377416153373556</v>
      </c>
      <c r="BC110" s="193">
        <f t="shared" si="89"/>
        <v>10.277365441338024</v>
      </c>
      <c r="BD110" s="193">
        <f t="shared" si="89"/>
        <v>9.3154238470378985</v>
      </c>
      <c r="BE110" s="193">
        <f t="shared" si="89"/>
        <v>9.8854923005896467</v>
      </c>
      <c r="BF110" s="193">
        <f t="shared" si="89"/>
        <v>10.216076529753227</v>
      </c>
      <c r="BG110" s="192">
        <f t="shared" si="89"/>
        <v>10.069899762959537</v>
      </c>
    </row>
    <row r="112" spans="4:61" ht="15.75" thickBot="1" x14ac:dyDescent="0.3"/>
    <row r="113" spans="10:59" ht="19.5" thickBot="1" x14ac:dyDescent="0.35">
      <c r="AK113" s="1112" t="s">
        <v>355</v>
      </c>
      <c r="AL113" s="1113"/>
      <c r="AM113" s="1113"/>
      <c r="AN113" s="1113"/>
      <c r="AO113" s="1113"/>
      <c r="AP113" s="1113"/>
      <c r="AQ113" s="1113"/>
      <c r="AR113" s="1113"/>
      <c r="AS113" s="1113"/>
      <c r="AT113" s="1113"/>
      <c r="AU113" s="1113"/>
      <c r="AV113" s="1113"/>
      <c r="AW113" s="1113"/>
      <c r="AX113" s="1113"/>
      <c r="AY113" s="1113"/>
      <c r="AZ113" s="1113"/>
      <c r="BA113" s="1113"/>
      <c r="BB113" s="1113"/>
      <c r="BC113" s="1113"/>
      <c r="BD113" s="1113"/>
      <c r="BE113" s="1113"/>
      <c r="BF113" s="1113"/>
      <c r="BG113" s="1114"/>
    </row>
    <row r="114" spans="10:59" ht="15.75" thickBot="1" x14ac:dyDescent="0.3">
      <c r="BD114" s="1"/>
    </row>
    <row r="115" spans="10:59" ht="15.75" thickBot="1" x14ac:dyDescent="0.3">
      <c r="AK115" s="157" t="s">
        <v>356</v>
      </c>
      <c r="AL115" s="34" t="s">
        <v>0</v>
      </c>
      <c r="AM115" s="35" t="s">
        <v>1</v>
      </c>
      <c r="AN115" s="35" t="s">
        <v>2</v>
      </c>
      <c r="AO115" s="35" t="s">
        <v>3</v>
      </c>
      <c r="AP115" s="35" t="s">
        <v>4</v>
      </c>
      <c r="AQ115" s="35" t="s">
        <v>5</v>
      </c>
      <c r="AR115" s="35" t="s">
        <v>6</v>
      </c>
      <c r="AS115" s="35" t="s">
        <v>7</v>
      </c>
      <c r="AT115" s="35" t="s">
        <v>27</v>
      </c>
      <c r="AU115" s="35" t="s">
        <v>9</v>
      </c>
      <c r="AV115" s="35" t="s">
        <v>10</v>
      </c>
      <c r="AW115" s="368" t="s">
        <v>11</v>
      </c>
      <c r="AX115" s="35" t="s">
        <v>12</v>
      </c>
      <c r="AY115" s="35" t="s">
        <v>13</v>
      </c>
      <c r="AZ115" s="35" t="s">
        <v>14</v>
      </c>
      <c r="BA115" s="36" t="s">
        <v>15</v>
      </c>
      <c r="BB115" s="36" t="s">
        <v>16</v>
      </c>
      <c r="BC115" s="35" t="s">
        <v>17</v>
      </c>
      <c r="BD115" s="31" t="s">
        <v>18</v>
      </c>
      <c r="BE115" s="54" t="s">
        <v>19</v>
      </c>
      <c r="BF115" s="36" t="s">
        <v>20</v>
      </c>
      <c r="BG115" s="369" t="s">
        <v>202</v>
      </c>
    </row>
    <row r="116" spans="10:59" x14ac:dyDescent="0.25">
      <c r="AK116" s="279" t="s">
        <v>34</v>
      </c>
      <c r="AL116" s="468">
        <v>630</v>
      </c>
      <c r="AM116" s="80">
        <v>627</v>
      </c>
      <c r="AN116" s="80">
        <v>643</v>
      </c>
      <c r="AO116" s="80">
        <v>545</v>
      </c>
      <c r="AP116" s="80">
        <v>580</v>
      </c>
      <c r="AQ116" s="80">
        <v>980</v>
      </c>
      <c r="AR116" s="80">
        <v>2261</v>
      </c>
      <c r="AS116" s="80">
        <v>586</v>
      </c>
      <c r="AT116" s="80">
        <v>839</v>
      </c>
      <c r="AU116" s="80">
        <f>'[15]2018. I. - Állományi_Új'!C29+'[15]2018. I. - Állományi_Új'!I29</f>
        <v>839</v>
      </c>
      <c r="AV116" s="81">
        <f>'[15]2018. II. - Állományi_Új'!C29+'[15]2018. II. - Állományi_Új'!I29</f>
        <v>538</v>
      </c>
      <c r="AW116" s="81">
        <f>'[15]2018. III. - Állományi_Új'!C29+'[15]2018. III. - Állományi_Új'!I29</f>
        <v>575</v>
      </c>
      <c r="AX116" s="81">
        <f>'[15]2018. IV. - Állományi_Új'!C29+'[15]2018. IV. - Állományi_Új'!I29</f>
        <v>1414</v>
      </c>
      <c r="AY116" s="80">
        <v>629</v>
      </c>
      <c r="AZ116" s="80">
        <v>612</v>
      </c>
      <c r="BA116" s="81">
        <v>565</v>
      </c>
      <c r="BB116" s="81">
        <v>760</v>
      </c>
      <c r="BC116" s="359">
        <f>'[15]2020. I. Állomány adatok'!C34+'[15]2020. I. Állomány adatok'!K34</f>
        <v>783</v>
      </c>
      <c r="BD116" s="359">
        <f>'[15]2020. II. Állományi adatok'!C34+'[15]2020. II. Állományi adatok'!K34</f>
        <v>606</v>
      </c>
      <c r="BE116" s="468">
        <f>'[15]2020. III. Állományi adatok'!C34+'[15]2020. III. Állományi adatok'!K34</f>
        <v>641</v>
      </c>
      <c r="BF116" s="360">
        <f>'[15]2020. IV. Állományi adatok'!C34+'[15]2020. IV. Állományi adatok'!K34</f>
        <v>593</v>
      </c>
      <c r="BG116" s="443">
        <f>'[15]2021. I. Állományi adatok'!C34+'[15]2021. I. Állományi adatok'!K34</f>
        <v>548</v>
      </c>
    </row>
    <row r="117" spans="10:59" ht="15.75" thickBot="1" x14ac:dyDescent="0.3">
      <c r="AK117" s="469" t="s">
        <v>35</v>
      </c>
      <c r="AL117" s="470">
        <v>77685</v>
      </c>
      <c r="AM117" s="471">
        <v>79998</v>
      </c>
      <c r="AN117" s="471">
        <v>78922</v>
      </c>
      <c r="AO117" s="471">
        <v>83151</v>
      </c>
      <c r="AP117" s="471">
        <v>80258</v>
      </c>
      <c r="AQ117" s="471">
        <v>75429</v>
      </c>
      <c r="AR117" s="471">
        <v>73408</v>
      </c>
      <c r="AS117" s="471">
        <v>72274</v>
      </c>
      <c r="AT117" s="471">
        <v>74518</v>
      </c>
      <c r="AU117" s="471">
        <f>'[15]2018. I. - Állományi_Új'!C69+'[15]2018. I. - Állományi_Új'!I69</f>
        <v>74518</v>
      </c>
      <c r="AV117" s="472">
        <f>'[15]2018. II. - Állományi_Új'!C69+'[15]2018. II. - Állományi_Új'!I69</f>
        <v>90748</v>
      </c>
      <c r="AW117" s="472">
        <f>'[15]2018. III. - Állományi_Új'!C69+'[15]2018. III. - Állományi_Új'!I69</f>
        <v>91380</v>
      </c>
      <c r="AX117" s="472">
        <f>'[15]2018. IV. - Állományi_Új'!C69+'[15]2018. IV. - Állományi_Új'!I69</f>
        <v>90468</v>
      </c>
      <c r="AY117" s="282">
        <v>89907</v>
      </c>
      <c r="AZ117" s="282">
        <v>89054</v>
      </c>
      <c r="BA117" s="283">
        <v>100149</v>
      </c>
      <c r="BB117" s="283">
        <v>110058</v>
      </c>
      <c r="BC117" s="282">
        <f>'[15]2020. I. Állomány adatok'!C81+'[15]2020. I. Állomány adatok'!K81</f>
        <v>116086</v>
      </c>
      <c r="BD117" s="282">
        <f>'[15]2020. II. Állományi adatok'!C81+'[15]2020. II. Állományi adatok'!K81</f>
        <v>116757</v>
      </c>
      <c r="BE117" s="282">
        <f>'[15]2020. III. Állományi adatok'!C81+'[15]2020. III. Állományi adatok'!K81</f>
        <v>159343</v>
      </c>
      <c r="BF117" s="283">
        <f>'[15]2020. IV. Állományi adatok'!C81+'[15]2020. IV. Állományi adatok'!K81</f>
        <v>174535</v>
      </c>
      <c r="BG117" s="445">
        <f>'[15]2021. I. Állományi adatok'!C81+'[15]2021. I. Állományi adatok'!K81</f>
        <v>177810</v>
      </c>
    </row>
    <row r="118" spans="10:59" x14ac:dyDescent="0.25">
      <c r="AK118" s="286" t="s">
        <v>349</v>
      </c>
      <c r="AL118" s="245">
        <f>AL116/AL120*100</f>
        <v>0.80444359318138281</v>
      </c>
      <c r="AM118" s="220">
        <f t="shared" ref="AM118:AX118" si="90">AM116/AM120*100</f>
        <v>0.77767441860465114</v>
      </c>
      <c r="AN118" s="220">
        <f t="shared" si="90"/>
        <v>0.80814428454722553</v>
      </c>
      <c r="AO118" s="220">
        <f t="shared" si="90"/>
        <v>0.65116612502389604</v>
      </c>
      <c r="AP118" s="220">
        <f t="shared" si="90"/>
        <v>0.71748435141888711</v>
      </c>
      <c r="AQ118" s="220">
        <f t="shared" si="90"/>
        <v>1.2825714248321531</v>
      </c>
      <c r="AR118" s="220">
        <f t="shared" si="90"/>
        <v>2.9880135854841483</v>
      </c>
      <c r="AS118" s="220">
        <f t="shared" si="90"/>
        <v>0.80428218501235238</v>
      </c>
      <c r="AT118" s="220">
        <f t="shared" si="90"/>
        <v>1.1133670395583688</v>
      </c>
      <c r="AU118" s="220">
        <f t="shared" si="90"/>
        <v>1.1133670395583688</v>
      </c>
      <c r="AV118" s="220">
        <f t="shared" si="90"/>
        <v>0.58935652783559367</v>
      </c>
      <c r="AW118" s="288">
        <f t="shared" si="90"/>
        <v>0.62530585612527867</v>
      </c>
      <c r="AX118" s="288">
        <f t="shared" si="90"/>
        <v>1.5389303672101173</v>
      </c>
      <c r="AY118" s="288">
        <f>AY116/AY120*100</f>
        <v>0.69475125916762392</v>
      </c>
      <c r="AZ118" s="288">
        <f t="shared" ref="AZ118:BG118" si="91">AZ116/AZ120*100</f>
        <v>0.68253295563535787</v>
      </c>
      <c r="BA118" s="288">
        <f t="shared" si="91"/>
        <v>0.56099449927517531</v>
      </c>
      <c r="BB118" s="288">
        <f t="shared" si="91"/>
        <v>0.68580916457615193</v>
      </c>
      <c r="BC118" s="220">
        <f t="shared" si="91"/>
        <v>0.66998091880652688</v>
      </c>
      <c r="BD118" s="289">
        <f t="shared" si="91"/>
        <v>0.51634671915339581</v>
      </c>
      <c r="BE118" s="289">
        <f t="shared" si="91"/>
        <v>0.40066506650665068</v>
      </c>
      <c r="BF118" s="451">
        <f t="shared" si="91"/>
        <v>0.33860947421314697</v>
      </c>
      <c r="BG118" s="225">
        <f t="shared" si="91"/>
        <v>0.30724722187959047</v>
      </c>
    </row>
    <row r="119" spans="10:59" ht="15.75" thickBot="1" x14ac:dyDescent="0.3">
      <c r="AK119" s="290" t="s">
        <v>350</v>
      </c>
      <c r="AL119" s="365">
        <f>AL117/AL120*100</f>
        <v>99.195556406818625</v>
      </c>
      <c r="AM119" s="292">
        <f t="shared" ref="AM119:AX119" si="92">AM117/AM120*100</f>
        <v>99.222325581395353</v>
      </c>
      <c r="AN119" s="292">
        <f t="shared" si="92"/>
        <v>99.191855715452775</v>
      </c>
      <c r="AO119" s="292">
        <f t="shared" si="92"/>
        <v>99.348833874976108</v>
      </c>
      <c r="AP119" s="292">
        <f t="shared" si="92"/>
        <v>99.282515648581111</v>
      </c>
      <c r="AQ119" s="292">
        <f t="shared" si="92"/>
        <v>98.717428575167844</v>
      </c>
      <c r="AR119" s="292">
        <f t="shared" si="92"/>
        <v>97.011986414515846</v>
      </c>
      <c r="AS119" s="292">
        <f t="shared" si="92"/>
        <v>99.195717814987646</v>
      </c>
      <c r="AT119" s="292">
        <f t="shared" si="92"/>
        <v>98.886632960441631</v>
      </c>
      <c r="AU119" s="292">
        <f t="shared" si="92"/>
        <v>98.886632960441631</v>
      </c>
      <c r="AV119" s="292">
        <f t="shared" si="92"/>
        <v>99.410643472164409</v>
      </c>
      <c r="AW119" s="293">
        <f t="shared" si="92"/>
        <v>99.37469414387472</v>
      </c>
      <c r="AX119" s="293">
        <f t="shared" si="92"/>
        <v>98.461069632789886</v>
      </c>
      <c r="AY119" s="293">
        <f>AY117/AY120*100</f>
        <v>99.305248740832369</v>
      </c>
      <c r="AZ119" s="293">
        <f t="shared" ref="AZ119:BG119" si="93">AZ117/AZ120*100</f>
        <v>99.317467044364633</v>
      </c>
      <c r="BA119" s="293">
        <f t="shared" si="93"/>
        <v>99.439005500724818</v>
      </c>
      <c r="BB119" s="293">
        <f t="shared" si="93"/>
        <v>99.314190835423844</v>
      </c>
      <c r="BC119" s="292">
        <f t="shared" si="93"/>
        <v>99.330019081193484</v>
      </c>
      <c r="BD119" s="473">
        <f t="shared" si="93"/>
        <v>99.48365328084661</v>
      </c>
      <c r="BE119" s="473">
        <f t="shared" si="93"/>
        <v>99.599334933493338</v>
      </c>
      <c r="BF119" s="474">
        <f t="shared" si="93"/>
        <v>99.661390525786857</v>
      </c>
      <c r="BG119" s="475">
        <f t="shared" si="93"/>
        <v>99.692752778120408</v>
      </c>
    </row>
    <row r="120" spans="10:59" x14ac:dyDescent="0.25">
      <c r="AK120" s="345" t="s">
        <v>357</v>
      </c>
      <c r="AL120" s="370">
        <f>AL116+AL117</f>
        <v>78315</v>
      </c>
      <c r="AM120" s="476">
        <f t="shared" ref="AM120:AX120" si="94">AM116+AM117</f>
        <v>80625</v>
      </c>
      <c r="AN120" s="476">
        <f t="shared" si="94"/>
        <v>79565</v>
      </c>
      <c r="AO120" s="476">
        <f t="shared" si="94"/>
        <v>83696</v>
      </c>
      <c r="AP120" s="476">
        <f t="shared" si="94"/>
        <v>80838</v>
      </c>
      <c r="AQ120" s="476">
        <f t="shared" si="94"/>
        <v>76409</v>
      </c>
      <c r="AR120" s="476">
        <f t="shared" si="94"/>
        <v>75669</v>
      </c>
      <c r="AS120" s="476">
        <f t="shared" si="94"/>
        <v>72860</v>
      </c>
      <c r="AT120" s="476">
        <f t="shared" si="94"/>
        <v>75357</v>
      </c>
      <c r="AU120" s="476">
        <f t="shared" si="94"/>
        <v>75357</v>
      </c>
      <c r="AV120" s="476">
        <f t="shared" si="94"/>
        <v>91286</v>
      </c>
      <c r="AW120" s="372">
        <f t="shared" si="94"/>
        <v>91955</v>
      </c>
      <c r="AX120" s="372">
        <f t="shared" si="94"/>
        <v>91882</v>
      </c>
      <c r="AY120" s="372">
        <v>90536</v>
      </c>
      <c r="AZ120" s="371">
        <v>89666</v>
      </c>
      <c r="BA120" s="372">
        <f t="shared" ref="BA120:BG120" si="95">BA116+BA117</f>
        <v>100714</v>
      </c>
      <c r="BB120" s="372">
        <f t="shared" si="95"/>
        <v>110818</v>
      </c>
      <c r="BC120" s="371">
        <f t="shared" si="95"/>
        <v>116869</v>
      </c>
      <c r="BD120" s="371">
        <f t="shared" si="95"/>
        <v>117363</v>
      </c>
      <c r="BE120" s="371">
        <f t="shared" si="95"/>
        <v>159984</v>
      </c>
      <c r="BF120" s="372">
        <f t="shared" si="95"/>
        <v>175128</v>
      </c>
      <c r="BG120" s="447">
        <f t="shared" si="95"/>
        <v>178358</v>
      </c>
    </row>
    <row r="121" spans="10:59" x14ac:dyDescent="0.25">
      <c r="AK121" s="380" t="s">
        <v>358</v>
      </c>
      <c r="AL121" s="477">
        <f>AL120/AL122*100</f>
        <v>20.404042509398913</v>
      </c>
      <c r="AM121" s="477">
        <f t="shared" ref="AM121:BG121" si="96">AM120/AM122*100</f>
        <v>20.679758075685992</v>
      </c>
      <c r="AN121" s="477">
        <f t="shared" si="96"/>
        <v>19.129788758469136</v>
      </c>
      <c r="AO121" s="477">
        <f t="shared" si="96"/>
        <v>19.820775628516756</v>
      </c>
      <c r="AP121" s="477">
        <f t="shared" si="96"/>
        <v>20.582558879694464</v>
      </c>
      <c r="AQ121" s="477">
        <f t="shared" si="96"/>
        <v>19.923860184352225</v>
      </c>
      <c r="AR121" s="477">
        <f t="shared" si="96"/>
        <v>17.658507443181421</v>
      </c>
      <c r="AS121" s="477">
        <f t="shared" si="96"/>
        <v>15.840301239656846</v>
      </c>
      <c r="AT121" s="477">
        <f t="shared" si="96"/>
        <v>16.731425069717044</v>
      </c>
      <c r="AU121" s="477">
        <f t="shared" si="96"/>
        <v>16.619580391819561</v>
      </c>
      <c r="AV121" s="477">
        <f t="shared" si="96"/>
        <v>19.623632799064456</v>
      </c>
      <c r="AW121" s="451">
        <f t="shared" si="96"/>
        <v>18.540361149419727</v>
      </c>
      <c r="AX121" s="451">
        <f t="shared" si="96"/>
        <v>18.189304810716965</v>
      </c>
      <c r="AY121" s="451">
        <f t="shared" si="96"/>
        <v>17.395748670859202</v>
      </c>
      <c r="AZ121" s="451">
        <f t="shared" si="96"/>
        <v>17.553689238660166</v>
      </c>
      <c r="BA121" s="451">
        <f t="shared" si="96"/>
        <v>18.430057862703261</v>
      </c>
      <c r="BB121" s="451">
        <f t="shared" si="96"/>
        <v>20.337757484106824</v>
      </c>
      <c r="BC121" s="289">
        <f t="shared" si="96"/>
        <v>20.901389665471889</v>
      </c>
      <c r="BD121" s="223">
        <f t="shared" si="96"/>
        <v>22.126469828569491</v>
      </c>
      <c r="BE121" s="223">
        <f t="shared" si="96"/>
        <v>26.967655804357062</v>
      </c>
      <c r="BF121" s="478">
        <f t="shared" si="96"/>
        <v>28.408333292779663</v>
      </c>
      <c r="BG121" s="414">
        <f t="shared" si="96"/>
        <v>28.733634162412258</v>
      </c>
    </row>
    <row r="122" spans="10:59" x14ac:dyDescent="0.25">
      <c r="AK122" s="345" t="s">
        <v>44</v>
      </c>
      <c r="AL122" s="453">
        <v>383821</v>
      </c>
      <c r="AM122" s="453">
        <v>389874</v>
      </c>
      <c r="AN122" s="453">
        <v>415922</v>
      </c>
      <c r="AO122" s="453">
        <v>422264</v>
      </c>
      <c r="AP122" s="453">
        <v>392750</v>
      </c>
      <c r="AQ122" s="453">
        <v>383505</v>
      </c>
      <c r="AR122" s="453">
        <v>428513</v>
      </c>
      <c r="AS122" s="453">
        <v>459966</v>
      </c>
      <c r="AT122" s="453">
        <v>450392</v>
      </c>
      <c r="AU122" s="453">
        <v>453423</v>
      </c>
      <c r="AV122" s="453">
        <v>465184</v>
      </c>
      <c r="AW122" s="305">
        <v>495972</v>
      </c>
      <c r="AX122" s="305">
        <v>505143</v>
      </c>
      <c r="AY122" s="304">
        <v>520449</v>
      </c>
      <c r="AZ122" s="304">
        <v>510810</v>
      </c>
      <c r="BA122" s="305">
        <v>546466</v>
      </c>
      <c r="BB122" s="305">
        <v>544888</v>
      </c>
      <c r="BC122" s="304">
        <v>559144.64</v>
      </c>
      <c r="BD122" s="304">
        <v>530419</v>
      </c>
      <c r="BE122" s="453">
        <v>593244</v>
      </c>
      <c r="BF122" s="305">
        <v>616467</v>
      </c>
      <c r="BG122" s="455">
        <v>620729</v>
      </c>
    </row>
    <row r="123" spans="10:59" ht="15.75" thickBot="1" x14ac:dyDescent="0.3">
      <c r="AK123" s="25" t="s">
        <v>359</v>
      </c>
      <c r="AL123" s="456">
        <v>0</v>
      </c>
      <c r="AM123" s="14">
        <f>AM120/AL120*100-100</f>
        <v>2.9496265083317326</v>
      </c>
      <c r="AN123" s="14">
        <f t="shared" ref="AN123:AX123" si="97">AN120/AM120*100-100</f>
        <v>-1.3147286821705393</v>
      </c>
      <c r="AO123" s="14">
        <f t="shared" si="97"/>
        <v>5.1919813988562851</v>
      </c>
      <c r="AP123" s="14">
        <f t="shared" si="97"/>
        <v>-3.4147390556298944</v>
      </c>
      <c r="AQ123" s="14">
        <f t="shared" si="97"/>
        <v>-5.4788589524728479</v>
      </c>
      <c r="AR123" s="14">
        <f t="shared" si="97"/>
        <v>-0.96847230038346765</v>
      </c>
      <c r="AS123" s="14">
        <f t="shared" si="97"/>
        <v>-3.7122203280075041</v>
      </c>
      <c r="AT123" s="14">
        <f t="shared" si="97"/>
        <v>3.4271205050782356</v>
      </c>
      <c r="AU123" s="14">
        <f t="shared" si="97"/>
        <v>0</v>
      </c>
      <c r="AV123" s="14">
        <f t="shared" si="97"/>
        <v>21.138049550804823</v>
      </c>
      <c r="AW123" s="29">
        <f t="shared" si="97"/>
        <v>0.73286155598886182</v>
      </c>
      <c r="AX123" s="29">
        <f t="shared" si="97"/>
        <v>-7.9386656516774678E-2</v>
      </c>
      <c r="AY123" s="29">
        <f>AY120/AW120*100-100</f>
        <v>-1.5431461040726475</v>
      </c>
      <c r="AZ123" s="29">
        <f t="shared" ref="AZ123:BG123" si="98">AZ120/AY120*100-100</f>
        <v>-0.96094371299814441</v>
      </c>
      <c r="BA123" s="310">
        <f t="shared" si="98"/>
        <v>12.321281199116726</v>
      </c>
      <c r="BB123" s="310">
        <f t="shared" si="98"/>
        <v>10.032368886152867</v>
      </c>
      <c r="BC123" s="309">
        <f t="shared" si="98"/>
        <v>5.4603042826977486</v>
      </c>
      <c r="BD123" s="14">
        <f t="shared" si="98"/>
        <v>0.42269549666720252</v>
      </c>
      <c r="BE123" s="14">
        <f t="shared" si="98"/>
        <v>36.315533856496501</v>
      </c>
      <c r="BF123" s="29">
        <f t="shared" si="98"/>
        <v>9.4659465946594707</v>
      </c>
      <c r="BG123" s="211">
        <f t="shared" si="98"/>
        <v>1.8443652642638568</v>
      </c>
    </row>
    <row r="124" spans="10:59" ht="15.75" thickBot="1" x14ac:dyDescent="0.3">
      <c r="J124" s="3" t="s">
        <v>42</v>
      </c>
      <c r="K124" s="95" t="s">
        <v>0</v>
      </c>
      <c r="L124" s="94" t="s">
        <v>1</v>
      </c>
      <c r="M124" s="94" t="s">
        <v>2</v>
      </c>
      <c r="N124" s="94" t="s">
        <v>3</v>
      </c>
      <c r="O124" s="94" t="s">
        <v>4</v>
      </c>
      <c r="P124" s="94" t="s">
        <v>5</v>
      </c>
      <c r="Q124" s="94" t="s">
        <v>6</v>
      </c>
      <c r="R124" s="94" t="s">
        <v>7</v>
      </c>
      <c r="S124" s="94" t="s">
        <v>27</v>
      </c>
      <c r="T124" s="94" t="s">
        <v>9</v>
      </c>
      <c r="U124" s="94" t="s">
        <v>10</v>
      </c>
      <c r="V124" s="94" t="s">
        <v>11</v>
      </c>
      <c r="W124" s="94" t="s">
        <v>12</v>
      </c>
      <c r="X124" s="94" t="s">
        <v>13</v>
      </c>
      <c r="Y124" s="94" t="s">
        <v>14</v>
      </c>
      <c r="Z124" s="75" t="s">
        <v>15</v>
      </c>
      <c r="AA124" s="75" t="s">
        <v>16</v>
      </c>
      <c r="AB124" s="75" t="s">
        <v>17</v>
      </c>
      <c r="AC124" s="75" t="s">
        <v>18</v>
      </c>
      <c r="AD124" s="75" t="s">
        <v>19</v>
      </c>
      <c r="AE124" s="94" t="s">
        <v>20</v>
      </c>
      <c r="AF124" s="94" t="s">
        <v>202</v>
      </c>
      <c r="AG124" s="94" t="s">
        <v>21</v>
      </c>
      <c r="AH124" s="94" t="s">
        <v>22</v>
      </c>
      <c r="AI124" s="94" t="s">
        <v>203</v>
      </c>
      <c r="AK124" s="15" t="s">
        <v>326</v>
      </c>
      <c r="AL124" s="13">
        <f>AL116/AL122*100</f>
        <v>0.16413901271686543</v>
      </c>
      <c r="AM124" s="14">
        <f t="shared" ref="AM124:BG124" si="99">AM116/AM122*100</f>
        <v>0.16082118838393944</v>
      </c>
      <c r="AN124" s="14">
        <f t="shared" si="99"/>
        <v>0.15459629449752599</v>
      </c>
      <c r="AO124" s="14">
        <f t="shared" si="99"/>
        <v>0.12906617660989333</v>
      </c>
      <c r="AP124" s="14">
        <f t="shared" si="99"/>
        <v>0.14767663908338638</v>
      </c>
      <c r="AQ124" s="14">
        <f t="shared" si="99"/>
        <v>0.25553773744801239</v>
      </c>
      <c r="AR124" s="14">
        <f t="shared" si="99"/>
        <v>0.52763860139599028</v>
      </c>
      <c r="AS124" s="14">
        <f t="shared" si="99"/>
        <v>0.12740072092285082</v>
      </c>
      <c r="AT124" s="14">
        <f t="shared" si="99"/>
        <v>0.18628217197463542</v>
      </c>
      <c r="AU124" s="14">
        <f t="shared" si="99"/>
        <v>0.18503693019542458</v>
      </c>
      <c r="AV124" s="14">
        <f t="shared" si="99"/>
        <v>0.115653160899773</v>
      </c>
      <c r="AW124" s="29">
        <f t="shared" si="99"/>
        <v>0.11593396401409757</v>
      </c>
      <c r="AX124" s="29">
        <f t="shared" si="99"/>
        <v>0.27992073531653411</v>
      </c>
      <c r="AY124" s="29">
        <f t="shared" si="99"/>
        <v>0.1208571829324295</v>
      </c>
      <c r="AZ124" s="29">
        <f t="shared" si="99"/>
        <v>0.11980971398367299</v>
      </c>
      <c r="BA124" s="29">
        <f t="shared" si="99"/>
        <v>0.10339161082299722</v>
      </c>
      <c r="BB124" s="29">
        <f t="shared" si="99"/>
        <v>0.13947820469527683</v>
      </c>
      <c r="BC124" s="14">
        <f t="shared" si="99"/>
        <v>0.14003532252406103</v>
      </c>
      <c r="BD124" s="14">
        <f t="shared" si="99"/>
        <v>0.11424930102428457</v>
      </c>
      <c r="BE124" s="14">
        <f t="shared" si="99"/>
        <v>0.10804997606381186</v>
      </c>
      <c r="BF124" s="29">
        <f t="shared" si="99"/>
        <v>9.6193307995399588E-2</v>
      </c>
      <c r="BG124" s="211">
        <f t="shared" si="99"/>
        <v>8.8283292709056604E-2</v>
      </c>
    </row>
    <row r="125" spans="10:59" ht="15.75" thickBot="1" x14ac:dyDescent="0.3">
      <c r="J125" s="1" t="s">
        <v>44</v>
      </c>
      <c r="K125" s="86">
        <v>383.82100000000003</v>
      </c>
      <c r="L125" s="86">
        <v>389.87400000000002</v>
      </c>
      <c r="M125" s="86">
        <v>415.92200000000003</v>
      </c>
      <c r="N125" s="86">
        <v>422.26400000000001</v>
      </c>
      <c r="O125" s="86">
        <v>392.75</v>
      </c>
      <c r="P125" s="86">
        <v>383.505</v>
      </c>
      <c r="Q125" s="86">
        <v>428.51299999999998</v>
      </c>
      <c r="R125" s="86">
        <v>459.96600000000001</v>
      </c>
      <c r="S125" s="86">
        <v>450.392</v>
      </c>
      <c r="T125" s="86">
        <v>453.423</v>
      </c>
      <c r="U125" s="86">
        <v>465.18400000000003</v>
      </c>
      <c r="V125" s="86">
        <v>495.97199999999998</v>
      </c>
      <c r="W125" s="86">
        <v>505.14299999999997</v>
      </c>
      <c r="X125" s="86">
        <v>520.44899999999996</v>
      </c>
      <c r="Y125" s="86">
        <v>510.81</v>
      </c>
      <c r="Z125" s="86">
        <v>546.46600000000001</v>
      </c>
      <c r="AA125" s="479">
        <v>544.88800000000003</v>
      </c>
      <c r="AB125" s="479">
        <v>559.14463999999998</v>
      </c>
      <c r="AC125" s="479">
        <v>530.41899999999998</v>
      </c>
      <c r="AD125" s="86">
        <v>593.24400000000003</v>
      </c>
      <c r="AE125" s="86">
        <v>616.46699999999998</v>
      </c>
      <c r="AF125" s="86">
        <v>620.72900000000004</v>
      </c>
      <c r="AG125" s="86"/>
      <c r="AH125" s="86"/>
      <c r="AI125" s="86"/>
      <c r="AK125" s="15" t="s">
        <v>327</v>
      </c>
      <c r="AL125" s="480">
        <f>AL117/AL122*100</f>
        <v>20.239903496682047</v>
      </c>
      <c r="AM125" s="481">
        <f t="shared" ref="AM125:BG125" si="100">AM117/AM122*100</f>
        <v>20.518936887302054</v>
      </c>
      <c r="AN125" s="481">
        <f t="shared" si="100"/>
        <v>18.975192463971609</v>
      </c>
      <c r="AO125" s="481">
        <f t="shared" si="100"/>
        <v>19.691709451906863</v>
      </c>
      <c r="AP125" s="481">
        <f t="shared" si="100"/>
        <v>20.434882240611078</v>
      </c>
      <c r="AQ125" s="481">
        <f t="shared" si="100"/>
        <v>19.668322446904213</v>
      </c>
      <c r="AR125" s="481">
        <f t="shared" si="100"/>
        <v>17.130868841785428</v>
      </c>
      <c r="AS125" s="481">
        <f t="shared" si="100"/>
        <v>15.712900518733994</v>
      </c>
      <c r="AT125" s="481">
        <f t="shared" si="100"/>
        <v>16.545142897742409</v>
      </c>
      <c r="AU125" s="481">
        <f t="shared" si="100"/>
        <v>16.434543461624134</v>
      </c>
      <c r="AV125" s="481">
        <f t="shared" si="100"/>
        <v>19.507979638164681</v>
      </c>
      <c r="AW125" s="462">
        <f t="shared" si="100"/>
        <v>18.42442718540563</v>
      </c>
      <c r="AX125" s="462">
        <f t="shared" si="100"/>
        <v>17.909384075400432</v>
      </c>
      <c r="AY125" s="462">
        <f t="shared" si="100"/>
        <v>17.274891487926773</v>
      </c>
      <c r="AZ125" s="462">
        <f t="shared" si="100"/>
        <v>17.433879524676492</v>
      </c>
      <c r="BA125" s="462">
        <f t="shared" si="100"/>
        <v>18.326666251880262</v>
      </c>
      <c r="BB125" s="462">
        <f t="shared" si="100"/>
        <v>20.198279279411548</v>
      </c>
      <c r="BC125" s="481">
        <f t="shared" si="100"/>
        <v>20.761354342947826</v>
      </c>
      <c r="BD125" s="481">
        <f t="shared" si="100"/>
        <v>22.012220527545203</v>
      </c>
      <c r="BE125" s="481">
        <f t="shared" si="100"/>
        <v>26.859605828293247</v>
      </c>
      <c r="BF125" s="462">
        <f t="shared" si="100"/>
        <v>28.312139984784263</v>
      </c>
      <c r="BG125" s="463">
        <f t="shared" si="100"/>
        <v>28.645350869703201</v>
      </c>
    </row>
    <row r="126" spans="10:59" ht="15.75" thickBot="1" x14ac:dyDescent="0.3">
      <c r="AK126" s="325" t="s">
        <v>26</v>
      </c>
      <c r="AL126" s="464">
        <v>825056</v>
      </c>
      <c r="AM126" s="465">
        <v>848204</v>
      </c>
      <c r="AN126" s="465">
        <v>924696</v>
      </c>
      <c r="AO126" s="465">
        <v>985514</v>
      </c>
      <c r="AP126" s="465">
        <v>997791</v>
      </c>
      <c r="AQ126" s="465">
        <v>1005984</v>
      </c>
      <c r="AR126" s="465">
        <v>1073238</v>
      </c>
      <c r="AS126" s="465">
        <v>1070624</v>
      </c>
      <c r="AT126" s="465">
        <v>1030760</v>
      </c>
      <c r="AU126" s="465">
        <v>1072544</v>
      </c>
      <c r="AV126" s="466">
        <v>1109892</v>
      </c>
      <c r="AW126" s="466">
        <v>1163376</v>
      </c>
      <c r="AX126" s="466">
        <v>1129593</v>
      </c>
      <c r="AY126" s="465">
        <v>1205011</v>
      </c>
      <c r="AZ126" s="465">
        <v>1233423</v>
      </c>
      <c r="BA126" s="466">
        <v>1292983</v>
      </c>
      <c r="BB126" s="466">
        <v>1269580</v>
      </c>
      <c r="BC126" s="465">
        <v>1292276.71</v>
      </c>
      <c r="BD126" s="465">
        <v>1306049</v>
      </c>
      <c r="BE126" s="482">
        <v>1405757</v>
      </c>
      <c r="BF126" s="466">
        <v>1431391</v>
      </c>
      <c r="BG126" s="467">
        <v>1435198</v>
      </c>
    </row>
    <row r="127" spans="10:59" ht="15.75" thickBot="1" x14ac:dyDescent="0.3">
      <c r="AK127" s="483" t="s">
        <v>360</v>
      </c>
      <c r="AL127" s="484">
        <f>AL120/AL126*100</f>
        <v>9.4920829616413922</v>
      </c>
      <c r="AM127" s="484">
        <f t="shared" ref="AM127:BG127" si="101">AM120/AM126*100</f>
        <v>9.505378423115193</v>
      </c>
      <c r="AN127" s="484">
        <f t="shared" si="101"/>
        <v>8.6044494623097751</v>
      </c>
      <c r="AO127" s="484">
        <f t="shared" si="101"/>
        <v>8.4926241534874194</v>
      </c>
      <c r="AP127" s="484">
        <f t="shared" si="101"/>
        <v>8.1016966478951993</v>
      </c>
      <c r="AQ127" s="484">
        <f t="shared" si="101"/>
        <v>7.59544883417629</v>
      </c>
      <c r="AR127" s="484">
        <f t="shared" si="101"/>
        <v>7.0505330597686626</v>
      </c>
      <c r="AS127" s="484">
        <f t="shared" si="101"/>
        <v>6.8053770511402698</v>
      </c>
      <c r="AT127" s="484">
        <f t="shared" si="101"/>
        <v>7.310819201365983</v>
      </c>
      <c r="AU127" s="484">
        <f t="shared" si="101"/>
        <v>7.0260054599158641</v>
      </c>
      <c r="AV127" s="484">
        <f t="shared" si="101"/>
        <v>8.22476421129263</v>
      </c>
      <c r="AW127" s="485">
        <f t="shared" si="101"/>
        <v>7.9041513663682252</v>
      </c>
      <c r="AX127" s="485">
        <f t="shared" si="101"/>
        <v>8.1340801509924372</v>
      </c>
      <c r="AY127" s="486">
        <f t="shared" si="101"/>
        <v>7.5132924097788321</v>
      </c>
      <c r="AZ127" s="338">
        <f t="shared" si="101"/>
        <v>7.2696876902733285</v>
      </c>
      <c r="BA127" s="487">
        <f t="shared" si="101"/>
        <v>7.789274878324</v>
      </c>
      <c r="BB127" s="487">
        <f t="shared" si="101"/>
        <v>8.7287134327887976</v>
      </c>
      <c r="BC127" s="10">
        <f t="shared" si="101"/>
        <v>9.0436513399672727</v>
      </c>
      <c r="BD127" s="338">
        <f t="shared" si="101"/>
        <v>8.9861100157804188</v>
      </c>
      <c r="BE127" s="338">
        <f t="shared" si="101"/>
        <v>11.380629795903559</v>
      </c>
      <c r="BF127" s="487">
        <f t="shared" si="101"/>
        <v>12.234812151257064</v>
      </c>
      <c r="BG127" s="488">
        <f t="shared" si="101"/>
        <v>12.427414196508076</v>
      </c>
    </row>
    <row r="130" spans="19:53" x14ac:dyDescent="0.25">
      <c r="S130" s="1"/>
    </row>
    <row r="131" spans="19:53" ht="15.75" thickBot="1" x14ac:dyDescent="0.3"/>
    <row r="132" spans="19:53" ht="15.75" thickBot="1" x14ac:dyDescent="0.3">
      <c r="AK132" s="1109" t="s">
        <v>361</v>
      </c>
      <c r="AL132" s="1110"/>
      <c r="AM132" s="1110"/>
      <c r="AN132" s="1110"/>
      <c r="AO132" s="1110"/>
      <c r="AP132" s="1110"/>
      <c r="AQ132" s="1110"/>
      <c r="AR132" s="1110"/>
      <c r="AS132" s="1110"/>
      <c r="AT132" s="1110"/>
      <c r="AU132" s="1110"/>
      <c r="AV132" s="1110"/>
      <c r="AW132" s="1110"/>
      <c r="AX132" s="1110"/>
      <c r="AY132" s="1110"/>
      <c r="AZ132" s="1110"/>
      <c r="BA132" s="1111"/>
    </row>
    <row r="133" spans="19:53" ht="15.75" thickBot="1" x14ac:dyDescent="0.3">
      <c r="AK133" s="416" t="s">
        <v>234</v>
      </c>
      <c r="AL133" s="217" t="s">
        <v>235</v>
      </c>
      <c r="AM133" s="217" t="s">
        <v>236</v>
      </c>
      <c r="AN133" s="217" t="s">
        <v>237</v>
      </c>
      <c r="AO133" s="217" t="s">
        <v>238</v>
      </c>
      <c r="AP133" s="217" t="s">
        <v>239</v>
      </c>
      <c r="AQ133" s="217" t="s">
        <v>240</v>
      </c>
      <c r="AR133" s="217" t="s">
        <v>241</v>
      </c>
      <c r="AS133" s="489" t="s">
        <v>242</v>
      </c>
      <c r="AT133" s="490" t="s">
        <v>243</v>
      </c>
      <c r="AU133" s="491" t="s">
        <v>244</v>
      </c>
      <c r="AV133" s="491" t="s">
        <v>245</v>
      </c>
      <c r="AW133" s="491" t="s">
        <v>246</v>
      </c>
      <c r="AX133" s="491" t="s">
        <v>247</v>
      </c>
      <c r="AY133" s="491" t="s">
        <v>248</v>
      </c>
      <c r="AZ133" s="491" t="s">
        <v>249</v>
      </c>
      <c r="BA133" s="491" t="s">
        <v>250</v>
      </c>
    </row>
    <row r="134" spans="19:53" x14ac:dyDescent="0.25">
      <c r="AK134" s="24" t="s">
        <v>332</v>
      </c>
      <c r="AL134" s="245">
        <f t="shared" ref="AL134:AO135" si="102">AP99/AL99*100-100</f>
        <v>51.494153313122581</v>
      </c>
      <c r="AM134" s="220">
        <f t="shared" si="102"/>
        <v>27.478609262528849</v>
      </c>
      <c r="AN134" s="220">
        <f t="shared" si="102"/>
        <v>28.732822607088565</v>
      </c>
      <c r="AO134" s="220">
        <f t="shared" si="102"/>
        <v>6.577574967405468</v>
      </c>
      <c r="AP134" s="220">
        <f t="shared" ref="AP134:AS135" si="103">AU99/AP99*100-100</f>
        <v>-14.2338479130932</v>
      </c>
      <c r="AQ134" s="220">
        <f t="shared" si="103"/>
        <v>-23.254760953522435</v>
      </c>
      <c r="AR134" s="220">
        <f t="shared" si="103"/>
        <v>-30.85490668272125</v>
      </c>
      <c r="AS134" s="220">
        <f t="shared" si="103"/>
        <v>-5.3428344241237937</v>
      </c>
      <c r="AT134" s="220">
        <f t="shared" ref="AT134:BA135" si="104">AY99/AU99*100-100</f>
        <v>1.2232925569147852</v>
      </c>
      <c r="AU134" s="220">
        <f t="shared" si="104"/>
        <v>22.558478517387371</v>
      </c>
      <c r="AV134" s="220">
        <f t="shared" si="104"/>
        <v>29.31917886206088</v>
      </c>
      <c r="AW134" s="220">
        <f t="shared" si="104"/>
        <v>5.5216309650738253</v>
      </c>
      <c r="AX134" s="287">
        <f t="shared" si="104"/>
        <v>16.339567966280285</v>
      </c>
      <c r="AY134" s="287">
        <f t="shared" si="104"/>
        <v>-36.71348473693152</v>
      </c>
      <c r="AZ134" s="492">
        <f>BE99/BA99*100-100</f>
        <v>-39.058939299772113</v>
      </c>
      <c r="BA134" s="492">
        <f>BF99/BB99*100-100</f>
        <v>-30.312308634415189</v>
      </c>
    </row>
    <row r="135" spans="19:53" ht="15.75" thickBot="1" x14ac:dyDescent="0.3">
      <c r="AK135" s="493" t="s">
        <v>333</v>
      </c>
      <c r="AL135" s="494">
        <f t="shared" si="102"/>
        <v>-5.3312299649101504</v>
      </c>
      <c r="AM135" s="473">
        <f t="shared" si="102"/>
        <v>-11.688502150958158</v>
      </c>
      <c r="AN135" s="473">
        <f t="shared" si="102"/>
        <v>-16.907166230673312</v>
      </c>
      <c r="AO135" s="473">
        <f t="shared" si="102"/>
        <v>-13.516564676092003</v>
      </c>
      <c r="AP135" s="473">
        <f t="shared" si="103"/>
        <v>-19.710095388658047</v>
      </c>
      <c r="AQ135" s="473">
        <f t="shared" si="103"/>
        <v>-16.32991973429283</v>
      </c>
      <c r="AR135" s="473">
        <f t="shared" si="103"/>
        <v>-8.5352230284018447</v>
      </c>
      <c r="AS135" s="473">
        <f t="shared" si="103"/>
        <v>-4.7542363576474003</v>
      </c>
      <c r="AT135" s="473">
        <f t="shared" si="104"/>
        <v>12.531098250515527</v>
      </c>
      <c r="AU135" s="473">
        <f t="shared" si="104"/>
        <v>20.805822031094934</v>
      </c>
      <c r="AV135" s="473">
        <f t="shared" si="104"/>
        <v>17.863972266429798</v>
      </c>
      <c r="AW135" s="292">
        <f t="shared" si="104"/>
        <v>18.144789425146016</v>
      </c>
      <c r="AX135" s="291">
        <f t="shared" si="104"/>
        <v>15.248746807906926</v>
      </c>
      <c r="AY135" s="291">
        <f t="shared" si="104"/>
        <v>8.7799428252226335</v>
      </c>
      <c r="AZ135" s="495">
        <f t="shared" si="104"/>
        <v>20.825439358573135</v>
      </c>
      <c r="BA135" s="495">
        <f t="shared" si="104"/>
        <v>33.862399444914246</v>
      </c>
    </row>
    <row r="136" spans="19:53" ht="15.75" thickBot="1" x14ac:dyDescent="0.3">
      <c r="AK136" s="431" t="s">
        <v>362</v>
      </c>
      <c r="AL136" s="496">
        <f>AP103/AL103*100-100</f>
        <v>5.4255240656178501</v>
      </c>
      <c r="AM136" s="497">
        <f t="shared" ref="AM136:AO136" si="105">AQ103/AM103*100-100</f>
        <v>-2.9317098351197899</v>
      </c>
      <c r="AN136" s="497">
        <f t="shared" si="105"/>
        <v>-5.9864479315263992</v>
      </c>
      <c r="AO136" s="497">
        <f t="shared" si="105"/>
        <v>-8.6027419097720355</v>
      </c>
      <c r="AP136" s="497">
        <f>AU103/AP103*100-100</f>
        <v>-18.220487258645221</v>
      </c>
      <c r="AQ136" s="497">
        <f>AV103/AQ103*100-100</f>
        <v>-18.363181356064757</v>
      </c>
      <c r="AR136" s="497">
        <f>AW103/AR103*100-100</f>
        <v>-15.848171948379061</v>
      </c>
      <c r="AS136" s="497">
        <f>AX103/AS103*100-100</f>
        <v>-4.9220787148874621</v>
      </c>
      <c r="AT136" s="497">
        <f>AY103/AU103*100-100</f>
        <v>9.3052887815453715</v>
      </c>
      <c r="AU136" s="497">
        <f>AZ103/AV103*100-100</f>
        <v>21.289599478872304</v>
      </c>
      <c r="AV136" s="497">
        <f t="shared" ref="AV136" si="106">BA103/AW103*100-100</f>
        <v>20.947907463170992</v>
      </c>
      <c r="AW136" s="498">
        <f>BB103/AX103*100-100</f>
        <v>14.56114764774405</v>
      </c>
      <c r="AX136" s="498">
        <f>BC103/AY103*100-100</f>
        <v>15.536919757811944</v>
      </c>
      <c r="AY136" s="498">
        <f>BD103/AZ103*100-100</f>
        <v>-3.9087613436219044</v>
      </c>
      <c r="AZ136" s="498">
        <f>BE103/BA103*100-100</f>
        <v>3.58769464715661</v>
      </c>
      <c r="BA136" s="498">
        <f>BF103/BB103*100-100</f>
        <v>17.08113820877837</v>
      </c>
    </row>
    <row r="137" spans="19:53" ht="15.75" thickBot="1" x14ac:dyDescent="0.3">
      <c r="AK137" s="157" t="s">
        <v>258</v>
      </c>
      <c r="AL137" s="217" t="s">
        <v>235</v>
      </c>
      <c r="AM137" s="217" t="s">
        <v>236</v>
      </c>
      <c r="AN137" s="217" t="s">
        <v>237</v>
      </c>
      <c r="AO137" s="217" t="s">
        <v>238</v>
      </c>
      <c r="AP137" s="217" t="s">
        <v>239</v>
      </c>
      <c r="AQ137" s="217" t="s">
        <v>240</v>
      </c>
      <c r="AR137" s="217" t="s">
        <v>241</v>
      </c>
      <c r="AS137" s="175" t="s">
        <v>242</v>
      </c>
      <c r="AT137" s="35" t="s">
        <v>243</v>
      </c>
      <c r="AU137" s="176" t="s">
        <v>244</v>
      </c>
      <c r="AV137" s="176" t="s">
        <v>245</v>
      </c>
      <c r="AW137" s="176" t="s">
        <v>246</v>
      </c>
      <c r="AX137" s="176" t="s">
        <v>247</v>
      </c>
      <c r="AY137" s="176" t="s">
        <v>248</v>
      </c>
      <c r="AZ137" s="176" t="s">
        <v>249</v>
      </c>
      <c r="BA137" s="491" t="s">
        <v>250</v>
      </c>
    </row>
    <row r="138" spans="19:53" x14ac:dyDescent="0.25">
      <c r="AK138" s="24" t="s">
        <v>332</v>
      </c>
      <c r="AL138" s="231">
        <f>AP116/AL116*100-100</f>
        <v>-7.9365079365079367</v>
      </c>
      <c r="AM138" s="232">
        <f t="shared" ref="AM138:AO139" si="107">AQ116/AM116*100-100</f>
        <v>56.299840510366835</v>
      </c>
      <c r="AN138" s="232">
        <f t="shared" si="107"/>
        <v>251.63297045101086</v>
      </c>
      <c r="AO138" s="232">
        <f t="shared" si="107"/>
        <v>7.5229357798165069</v>
      </c>
      <c r="AP138" s="232">
        <f>AU116/AP116*100-100</f>
        <v>44.65517241379311</v>
      </c>
      <c r="AQ138" s="232">
        <f>AV116/AQ116*100-100</f>
        <v>-45.102040816326529</v>
      </c>
      <c r="AR138" s="232">
        <f t="shared" ref="AR138" si="108">AW116/AR116*100-100</f>
        <v>-74.568774878372409</v>
      </c>
      <c r="AS138" s="232">
        <f>AX116/AS116*100-100</f>
        <v>141.29692832764508</v>
      </c>
      <c r="AT138" s="232">
        <f>AY116/AU116*100-100</f>
        <v>-25.029797377830761</v>
      </c>
      <c r="AU138" s="232">
        <f t="shared" ref="AU138:BA139" si="109">AZ116/AV116*100-100</f>
        <v>13.754646840148709</v>
      </c>
      <c r="AV138" s="232">
        <f t="shared" si="109"/>
        <v>-1.7391304347826093</v>
      </c>
      <c r="AW138" s="232">
        <f t="shared" si="109"/>
        <v>-46.251768033946249</v>
      </c>
      <c r="AX138" s="499">
        <f t="shared" si="109"/>
        <v>24.483306836248019</v>
      </c>
      <c r="AY138" s="499">
        <f t="shared" si="109"/>
        <v>-0.98039215686273451</v>
      </c>
      <c r="AZ138" s="500">
        <f t="shared" si="109"/>
        <v>13.451327433628308</v>
      </c>
      <c r="BA138" s="500">
        <f t="shared" si="109"/>
        <v>-21.973684210526315</v>
      </c>
    </row>
    <row r="139" spans="19:53" ht="15.75" thickBot="1" x14ac:dyDescent="0.3">
      <c r="AK139" s="493" t="s">
        <v>333</v>
      </c>
      <c r="AL139" s="402">
        <f>AP117/AL117*100-100</f>
        <v>3.3120937117847831</v>
      </c>
      <c r="AM139" s="403">
        <f t="shared" si="107"/>
        <v>-5.7113927848196226</v>
      </c>
      <c r="AN139" s="403">
        <f t="shared" si="107"/>
        <v>-6.986645041940136</v>
      </c>
      <c r="AO139" s="403">
        <f t="shared" si="107"/>
        <v>-13.081021274548704</v>
      </c>
      <c r="AP139" s="403">
        <f>AU117/AP117*100-100</f>
        <v>-7.1519350095940553</v>
      </c>
      <c r="AQ139" s="403">
        <f t="shared" ref="AQ139:AS139" si="110">AV117/AQ117*100-100</f>
        <v>20.309164910047855</v>
      </c>
      <c r="AR139" s="403">
        <f>AW117/AR117*100-100</f>
        <v>24.482345248474275</v>
      </c>
      <c r="AS139" s="403">
        <f t="shared" si="110"/>
        <v>25.173644740847337</v>
      </c>
      <c r="AT139" s="403">
        <f>AY117/AU117*100-100</f>
        <v>20.651386242250197</v>
      </c>
      <c r="AU139" s="403">
        <f t="shared" si="109"/>
        <v>-1.8667078062326539</v>
      </c>
      <c r="AV139" s="403">
        <f t="shared" si="109"/>
        <v>9.5961917268548831</v>
      </c>
      <c r="AW139" s="403">
        <f t="shared" si="109"/>
        <v>21.654065525931827</v>
      </c>
      <c r="AX139" s="501">
        <f t="shared" si="109"/>
        <v>29.117866239558651</v>
      </c>
      <c r="AY139" s="501">
        <f t="shared" si="109"/>
        <v>31.108091719630778</v>
      </c>
      <c r="AZ139" s="502">
        <f t="shared" si="109"/>
        <v>59.105932161080005</v>
      </c>
      <c r="BA139" s="502">
        <f t="shared" si="109"/>
        <v>58.584564502353288</v>
      </c>
    </row>
    <row r="140" spans="19:53" ht="15.75" thickBot="1" x14ac:dyDescent="0.3">
      <c r="AK140" s="431" t="s">
        <v>363</v>
      </c>
      <c r="AL140" s="503">
        <f>AP120/AL120*100-100</f>
        <v>3.2216050565025967</v>
      </c>
      <c r="AM140" s="503">
        <f t="shared" ref="AM140:AO140" si="111">AQ120/AM120*100-100</f>
        <v>-5.2291472868216999</v>
      </c>
      <c r="AN140" s="503">
        <f t="shared" si="111"/>
        <v>-4.8966254006158465</v>
      </c>
      <c r="AO140" s="503">
        <f t="shared" si="111"/>
        <v>-12.946855285796204</v>
      </c>
      <c r="AP140" s="503">
        <f>AU120/AP120*100-100</f>
        <v>-6.7802271209084921</v>
      </c>
      <c r="AQ140" s="503">
        <f t="shared" ref="AQ140:AR140" si="112">AV120/AQ120*100-100</f>
        <v>19.470219476763219</v>
      </c>
      <c r="AR140" s="503">
        <f t="shared" si="112"/>
        <v>21.522684322509875</v>
      </c>
      <c r="AS140" s="503">
        <f>AX120/AS120*100-100</f>
        <v>26.107603623387305</v>
      </c>
      <c r="AT140" s="504">
        <f>AY120/AU120*100-100</f>
        <v>20.142787000544075</v>
      </c>
      <c r="AU140" s="504">
        <f t="shared" ref="AU140:BA140" si="113">AZ120/AV120*100-100</f>
        <v>-1.7746423328878507</v>
      </c>
      <c r="AV140" s="504">
        <f t="shared" si="113"/>
        <v>9.5253112935675119</v>
      </c>
      <c r="AW140" s="505">
        <f t="shared" si="113"/>
        <v>20.609042032171715</v>
      </c>
      <c r="AX140" s="505">
        <f t="shared" si="113"/>
        <v>29.08566757974728</v>
      </c>
      <c r="AY140" s="505">
        <f t="shared" si="113"/>
        <v>30.889077242209964</v>
      </c>
      <c r="AZ140" s="505">
        <f t="shared" si="113"/>
        <v>58.849812339893163</v>
      </c>
      <c r="BA140" s="505">
        <f t="shared" si="113"/>
        <v>58.032088649858309</v>
      </c>
    </row>
    <row r="143" spans="19:53" ht="15.75" thickBot="1" x14ac:dyDescent="0.3"/>
    <row r="144" spans="19:53" ht="15.75" thickBot="1" x14ac:dyDescent="0.3">
      <c r="AK144" s="1109" t="s">
        <v>364</v>
      </c>
      <c r="AL144" s="1110"/>
      <c r="AM144" s="1110"/>
      <c r="AN144" s="1110"/>
      <c r="AO144" s="1110"/>
      <c r="AP144" s="1110"/>
      <c r="AQ144" s="1110"/>
      <c r="AR144" s="1110"/>
      <c r="AS144" s="1110"/>
      <c r="AT144" s="1110"/>
      <c r="AU144" s="1110"/>
      <c r="AV144" s="1110"/>
      <c r="AW144" s="1110"/>
      <c r="AX144" s="1110"/>
      <c r="AY144" s="1110"/>
      <c r="AZ144" s="1110"/>
      <c r="BA144" s="1111"/>
    </row>
    <row r="145" spans="13:58" ht="15.75" thickBot="1" x14ac:dyDescent="0.3">
      <c r="AK145" s="416" t="s">
        <v>268</v>
      </c>
      <c r="AL145" s="217" t="s">
        <v>269</v>
      </c>
      <c r="AM145" s="217" t="s">
        <v>270</v>
      </c>
      <c r="AN145" s="217" t="s">
        <v>271</v>
      </c>
      <c r="AO145" s="217" t="s">
        <v>272</v>
      </c>
      <c r="AP145" s="217" t="s">
        <v>273</v>
      </c>
      <c r="AQ145" s="217" t="s">
        <v>274</v>
      </c>
      <c r="AR145" s="217" t="s">
        <v>275</v>
      </c>
      <c r="AS145" s="506" t="s">
        <v>276</v>
      </c>
      <c r="AT145" s="490" t="s">
        <v>277</v>
      </c>
      <c r="AU145" s="491" t="s">
        <v>278</v>
      </c>
      <c r="AV145" s="491" t="s">
        <v>279</v>
      </c>
      <c r="AW145" s="491" t="s">
        <v>280</v>
      </c>
      <c r="AX145" s="491" t="s">
        <v>340</v>
      </c>
      <c r="AY145" s="491" t="s">
        <v>281</v>
      </c>
      <c r="AZ145" s="491" t="s">
        <v>282</v>
      </c>
      <c r="BA145" s="491" t="s">
        <v>283</v>
      </c>
    </row>
    <row r="146" spans="13:58" x14ac:dyDescent="0.25">
      <c r="AK146" s="24" t="s">
        <v>342</v>
      </c>
      <c r="AL146" s="245">
        <f t="shared" ref="AL146:AO147" si="114">AP99/AO99*100-100</f>
        <v>14.015645371577577</v>
      </c>
      <c r="AM146" s="220">
        <f t="shared" si="114"/>
        <v>7.3327615780445825</v>
      </c>
      <c r="AN146" s="220">
        <f t="shared" si="114"/>
        <v>15.024637102144098</v>
      </c>
      <c r="AO146" s="220">
        <f t="shared" si="114"/>
        <v>-24.285648126707727</v>
      </c>
      <c r="AP146" s="220">
        <f>AU99/AS99*100-100</f>
        <v>-8.2482108997492247</v>
      </c>
      <c r="AQ146" s="220">
        <f>AV99/AU99*100-100</f>
        <v>-3.9565347821739323</v>
      </c>
      <c r="AR146" s="220">
        <f>AW99/AV99*100-100</f>
        <v>3.633650308877634</v>
      </c>
      <c r="AS146" s="220">
        <f>AX99/AW99*100-100</f>
        <v>3.6502461404507471</v>
      </c>
      <c r="AT146" s="220">
        <f>AY99/AX99*100-100</f>
        <v>-1.8836225000807758</v>
      </c>
      <c r="AU146" s="220">
        <f t="shared" ref="AU146:BA147" si="115">AZ99/AY99*100-100</f>
        <v>16.28688092729189</v>
      </c>
      <c r="AV146" s="220">
        <f t="shared" si="115"/>
        <v>9.3503992750750342</v>
      </c>
      <c r="AW146" s="220">
        <f t="shared" si="115"/>
        <v>-15.423658587114147</v>
      </c>
      <c r="AX146" s="220">
        <f t="shared" si="115"/>
        <v>8.175137783221075</v>
      </c>
      <c r="AY146" s="220">
        <f t="shared" si="115"/>
        <v>-36.742145485423151</v>
      </c>
      <c r="AZ146" s="221">
        <f t="shared" si="115"/>
        <v>5.2977761868540085</v>
      </c>
      <c r="BA146" s="221">
        <f t="shared" si="115"/>
        <v>-3.2847490757659443</v>
      </c>
    </row>
    <row r="147" spans="13:58" ht="19.5" thickBot="1" x14ac:dyDescent="0.35">
      <c r="M147" s="507"/>
      <c r="N147" s="507"/>
      <c r="O147" s="507"/>
      <c r="P147" s="507"/>
      <c r="Q147" s="507"/>
      <c r="AK147" s="493" t="s">
        <v>343</v>
      </c>
      <c r="AL147" s="365">
        <f t="shared" si="114"/>
        <v>-1.2270521207005629</v>
      </c>
      <c r="AM147" s="292">
        <f t="shared" si="114"/>
        <v>-3.5164553446489322</v>
      </c>
      <c r="AN147" s="292">
        <f t="shared" si="114"/>
        <v>-1.8865208967616951</v>
      </c>
      <c r="AO147" s="292">
        <f t="shared" si="114"/>
        <v>-7.5061215738933242</v>
      </c>
      <c r="AP147" s="292">
        <f>AU100/AS100*100-100</f>
        <v>-8.3006990447608331</v>
      </c>
      <c r="AQ147" s="292">
        <f>AV100/AU100*100-100</f>
        <v>0.5454666400585495</v>
      </c>
      <c r="AR147" s="292">
        <f t="shared" ref="AR147:AT147" si="116">AW100/AV100*100-100</f>
        <v>7.2537214687396556</v>
      </c>
      <c r="AS147" s="292">
        <f t="shared" si="116"/>
        <v>-3.6825937303379135</v>
      </c>
      <c r="AT147" s="292">
        <f t="shared" si="116"/>
        <v>8.3410185469822835</v>
      </c>
      <c r="AU147" s="292">
        <f t="shared" si="115"/>
        <v>7.9388536839118444</v>
      </c>
      <c r="AV147" s="292">
        <f>BA100/AZ100*100-100</f>
        <v>4.6418909298020736</v>
      </c>
      <c r="AW147" s="292">
        <f t="shared" si="115"/>
        <v>-3.45311240671154</v>
      </c>
      <c r="AX147" s="292">
        <f t="shared" si="115"/>
        <v>5.6852923957587933</v>
      </c>
      <c r="AY147" s="292">
        <f t="shared" si="115"/>
        <v>1.8803471410106454</v>
      </c>
      <c r="AZ147" s="427">
        <f t="shared" si="115"/>
        <v>16.229169813220551</v>
      </c>
      <c r="BA147" s="427">
        <f t="shared" si="115"/>
        <v>6.9642130066792021</v>
      </c>
    </row>
    <row r="148" spans="13:58" ht="15.75" thickBot="1" x14ac:dyDescent="0.3">
      <c r="AK148" s="431" t="s">
        <v>362</v>
      </c>
      <c r="AL148" s="432">
        <f>AP103/AO103*100-100</f>
        <v>2.5003985333971031</v>
      </c>
      <c r="AM148" s="432">
        <f t="shared" ref="AM148:AO148" si="117">AQ103/AP103*100-100</f>
        <v>-0.56533200618987678</v>
      </c>
      <c r="AN148" s="432">
        <f t="shared" si="117"/>
        <v>3.0789082662078755</v>
      </c>
      <c r="AO148" s="432">
        <f t="shared" si="117"/>
        <v>-13.003861706889623</v>
      </c>
      <c r="AP148" s="432">
        <f>AU103/AS103*100-100</f>
        <v>-8.2857317275240518</v>
      </c>
      <c r="AQ148" s="432">
        <f>AV103/AU103*100-100</f>
        <v>-0.73883194188235279</v>
      </c>
      <c r="AR148" s="432">
        <f t="shared" ref="AR148:BA148" si="118">AW103/AV103*100-100</f>
        <v>6.254490415656818</v>
      </c>
      <c r="AS148" s="432">
        <f t="shared" si="118"/>
        <v>-1.7084693196775902</v>
      </c>
      <c r="AT148" s="432">
        <f t="shared" si="118"/>
        <v>5.4383020096676802</v>
      </c>
      <c r="AU148" s="432">
        <f t="shared" si="118"/>
        <v>10.144234115108915</v>
      </c>
      <c r="AV148" s="432">
        <f t="shared" si="118"/>
        <v>5.9551546839581988</v>
      </c>
      <c r="AW148" s="432">
        <f t="shared" si="118"/>
        <v>-6.8988393848814411</v>
      </c>
      <c r="AX148" s="432">
        <f t="shared" si="118"/>
        <v>6.3363704783103003</v>
      </c>
      <c r="AY148" s="437">
        <f t="shared" si="118"/>
        <v>-8.393819835557025</v>
      </c>
      <c r="AZ148" s="437">
        <f t="shared" si="118"/>
        <v>14.221133613887432</v>
      </c>
      <c r="BA148" s="437">
        <f t="shared" si="118"/>
        <v>5.228617071801736</v>
      </c>
    </row>
    <row r="149" spans="13:58" ht="15.75" thickBot="1" x14ac:dyDescent="0.3">
      <c r="AK149" s="157" t="s">
        <v>289</v>
      </c>
      <c r="AL149" s="257" t="s">
        <v>269</v>
      </c>
      <c r="AM149" s="257" t="s">
        <v>270</v>
      </c>
      <c r="AN149" s="257" t="s">
        <v>271</v>
      </c>
      <c r="AO149" s="257" t="s">
        <v>272</v>
      </c>
      <c r="AP149" s="257" t="s">
        <v>273</v>
      </c>
      <c r="AQ149" s="257" t="s">
        <v>274</v>
      </c>
      <c r="AR149" s="508" t="s">
        <v>275</v>
      </c>
      <c r="AS149" s="35" t="s">
        <v>276</v>
      </c>
      <c r="AT149" s="35" t="s">
        <v>277</v>
      </c>
      <c r="AU149" s="176" t="s">
        <v>278</v>
      </c>
      <c r="AV149" s="176" t="s">
        <v>279</v>
      </c>
      <c r="AW149" s="491" t="s">
        <v>280</v>
      </c>
      <c r="AX149" s="491" t="s">
        <v>340</v>
      </c>
      <c r="AY149" s="491" t="s">
        <v>281</v>
      </c>
      <c r="AZ149" s="491" t="s">
        <v>282</v>
      </c>
      <c r="BA149" s="491" t="s">
        <v>283</v>
      </c>
    </row>
    <row r="150" spans="13:58" x14ac:dyDescent="0.25">
      <c r="AK150" s="24" t="s">
        <v>342</v>
      </c>
      <c r="AL150" s="245">
        <f>AP116/AO116*100-100</f>
        <v>6.4220183486238653</v>
      </c>
      <c r="AM150" s="220">
        <f t="shared" ref="AM150:AO151" si="119">AQ116/AP116*100-100</f>
        <v>68.965517241379303</v>
      </c>
      <c r="AN150" s="220">
        <f t="shared" si="119"/>
        <v>130.71428571428569</v>
      </c>
      <c r="AO150" s="220">
        <f t="shared" si="119"/>
        <v>-74.082264484741273</v>
      </c>
      <c r="AP150" s="220">
        <f>AU116/AS116*100-100</f>
        <v>43.174061433447122</v>
      </c>
      <c r="AQ150" s="220">
        <f>AV116/AU116*100-100</f>
        <v>-35.876042908224079</v>
      </c>
      <c r="AR150" s="220">
        <f t="shared" ref="AR150:BA151" si="120">AW116/AV116*100-100</f>
        <v>6.8773234200743474</v>
      </c>
      <c r="AS150" s="220">
        <f t="shared" si="120"/>
        <v>145.91304347826087</v>
      </c>
      <c r="AT150" s="220">
        <f>AY116/AX116*100-100</f>
        <v>-55.516265912305521</v>
      </c>
      <c r="AU150" s="220">
        <f>AZ116/AY116*100-100</f>
        <v>-2.7027027027026946</v>
      </c>
      <c r="AV150" s="220">
        <f t="shared" si="120"/>
        <v>-7.6797385620915009</v>
      </c>
      <c r="AW150" s="220">
        <f t="shared" si="120"/>
        <v>34.513274336283189</v>
      </c>
      <c r="AX150" s="220">
        <f t="shared" si="120"/>
        <v>3.0263157894736707</v>
      </c>
      <c r="AY150" s="220">
        <f t="shared" si="120"/>
        <v>-22.605363984674327</v>
      </c>
      <c r="AZ150" s="221">
        <f t="shared" si="120"/>
        <v>5.7755775577557671</v>
      </c>
      <c r="BA150" s="221">
        <f t="shared" si="120"/>
        <v>-7.4882995319812835</v>
      </c>
    </row>
    <row r="151" spans="13:58" ht="15.75" thickBot="1" x14ac:dyDescent="0.3">
      <c r="AK151" s="493" t="s">
        <v>343</v>
      </c>
      <c r="AL151" s="365">
        <f>AP117/AO117*100-100</f>
        <v>-3.4792125169871611</v>
      </c>
      <c r="AM151" s="292">
        <f t="shared" si="119"/>
        <v>-6.0168456727055286</v>
      </c>
      <c r="AN151" s="292">
        <f t="shared" si="119"/>
        <v>-2.6793408370785841</v>
      </c>
      <c r="AO151" s="292">
        <f t="shared" si="119"/>
        <v>-1.5447907585004401</v>
      </c>
      <c r="AP151" s="292">
        <f>AU117/AS117*100-100</f>
        <v>3.1048509837562506</v>
      </c>
      <c r="AQ151" s="292">
        <f>AV117/AU117*100-100</f>
        <v>21.779972624063987</v>
      </c>
      <c r="AR151" s="292">
        <f t="shared" si="120"/>
        <v>0.69643408119186745</v>
      </c>
      <c r="AS151" s="292">
        <f t="shared" si="120"/>
        <v>-0.99803020354562477</v>
      </c>
      <c r="AT151" s="292">
        <f t="shared" si="120"/>
        <v>-0.6201087677410726</v>
      </c>
      <c r="AU151" s="292">
        <f t="shared" si="120"/>
        <v>-0.94875816121103185</v>
      </c>
      <c r="AV151" s="292">
        <f t="shared" si="120"/>
        <v>12.458732903631514</v>
      </c>
      <c r="AW151" s="292">
        <f t="shared" si="120"/>
        <v>9.8942575562412003</v>
      </c>
      <c r="AX151" s="292">
        <f t="shared" si="120"/>
        <v>5.4771120681822225</v>
      </c>
      <c r="AY151" s="292">
        <f t="shared" si="120"/>
        <v>0.57801974398290668</v>
      </c>
      <c r="AZ151" s="427">
        <f t="shared" si="120"/>
        <v>36.47404438277789</v>
      </c>
      <c r="BA151" s="427">
        <f t="shared" si="120"/>
        <v>9.5341496018024117</v>
      </c>
    </row>
    <row r="152" spans="13:58" ht="15.75" thickBot="1" x14ac:dyDescent="0.3">
      <c r="AK152" s="431" t="s">
        <v>363</v>
      </c>
      <c r="AL152" s="496">
        <f>AP120/AO120*100-100</f>
        <v>-3.4147390556298944</v>
      </c>
      <c r="AM152" s="496">
        <f t="shared" ref="AM152:AO152" si="121">AQ120/AP120*100-100</f>
        <v>-5.4788589524728479</v>
      </c>
      <c r="AN152" s="496">
        <f t="shared" si="121"/>
        <v>-0.96847230038346765</v>
      </c>
      <c r="AO152" s="496">
        <f t="shared" si="121"/>
        <v>-3.7122203280075041</v>
      </c>
      <c r="AP152" s="496">
        <f>AU120/AS120*100-100</f>
        <v>3.4271205050782356</v>
      </c>
      <c r="AQ152" s="496">
        <f>AV120/AU120*100-100</f>
        <v>21.138049550804823</v>
      </c>
      <c r="AR152" s="496">
        <f t="shared" ref="AR152:BA152" si="122">AW120/AV120*100-100</f>
        <v>0.73286155598886182</v>
      </c>
      <c r="AS152" s="496">
        <f t="shared" si="122"/>
        <v>-7.9386656516774678E-2</v>
      </c>
      <c r="AT152" s="496">
        <f t="shared" si="122"/>
        <v>-1.4649224004701722</v>
      </c>
      <c r="AU152" s="496">
        <f t="shared" si="122"/>
        <v>-0.96094371299814441</v>
      </c>
      <c r="AV152" s="496">
        <f t="shared" si="122"/>
        <v>12.321281199116726</v>
      </c>
      <c r="AW152" s="496">
        <f t="shared" si="122"/>
        <v>10.032368886152867</v>
      </c>
      <c r="AX152" s="496">
        <f t="shared" si="122"/>
        <v>5.4603042826977486</v>
      </c>
      <c r="AY152" s="433">
        <f t="shared" si="122"/>
        <v>0.42269549666720252</v>
      </c>
      <c r="AZ152" s="433">
        <f t="shared" si="122"/>
        <v>36.315533856496501</v>
      </c>
      <c r="BA152" s="433">
        <f t="shared" si="122"/>
        <v>9.4659465946594707</v>
      </c>
    </row>
    <row r="153" spans="13:58" x14ac:dyDescent="0.25">
      <c r="AY153" s="1"/>
    </row>
    <row r="154" spans="13:58" x14ac:dyDescent="0.25">
      <c r="AY154" s="1"/>
    </row>
    <row r="155" spans="13:58" ht="15.75" thickBot="1" x14ac:dyDescent="0.3"/>
    <row r="156" spans="13:58" ht="19.5" thickBot="1" x14ac:dyDescent="0.35">
      <c r="AK156" s="1112" t="s">
        <v>365</v>
      </c>
      <c r="AL156" s="1113"/>
      <c r="AM156" s="1113"/>
      <c r="AN156" s="1113"/>
      <c r="AO156" s="1113"/>
      <c r="AP156" s="1113"/>
      <c r="AQ156" s="1113"/>
      <c r="AR156" s="1113"/>
      <c r="AS156" s="1113"/>
      <c r="AT156" s="1113"/>
      <c r="AU156" s="1113"/>
      <c r="AV156" s="1113"/>
      <c r="AW156" s="1113"/>
      <c r="AX156" s="1113"/>
      <c r="AY156" s="1113"/>
      <c r="AZ156" s="1113"/>
      <c r="BA156" s="1113"/>
      <c r="BB156" s="1113"/>
      <c r="BC156" s="1113"/>
      <c r="BD156" s="1113"/>
      <c r="BE156" s="1113"/>
      <c r="BF156" s="1114"/>
    </row>
    <row r="157" spans="13:58" ht="15.75" thickBot="1" x14ac:dyDescent="0.3">
      <c r="AS157" s="1"/>
      <c r="AV157" s="1"/>
      <c r="AW157" s="1"/>
    </row>
    <row r="158" spans="13:58" ht="15.75" thickBot="1" x14ac:dyDescent="0.3">
      <c r="AK158" s="67" t="s">
        <v>366</v>
      </c>
      <c r="AL158" s="77" t="s">
        <v>0</v>
      </c>
      <c r="AM158" s="31" t="s">
        <v>1</v>
      </c>
      <c r="AN158" s="31" t="s">
        <v>2</v>
      </c>
      <c r="AO158" s="31" t="s">
        <v>3</v>
      </c>
      <c r="AP158" s="31" t="s">
        <v>4</v>
      </c>
      <c r="AQ158" s="31" t="s">
        <v>5</v>
      </c>
      <c r="AR158" s="31" t="s">
        <v>6</v>
      </c>
      <c r="AS158" s="31" t="s">
        <v>7</v>
      </c>
      <c r="AT158" s="31" t="s">
        <v>27</v>
      </c>
      <c r="AU158" s="31" t="s">
        <v>9</v>
      </c>
      <c r="AV158" s="49" t="s">
        <v>10</v>
      </c>
      <c r="AW158" s="31" t="s">
        <v>11</v>
      </c>
      <c r="AX158" s="35" t="s">
        <v>12</v>
      </c>
      <c r="AY158" s="79" t="s">
        <v>13</v>
      </c>
      <c r="AZ158" s="31" t="s">
        <v>14</v>
      </c>
      <c r="BA158" s="79" t="s">
        <v>15</v>
      </c>
      <c r="BB158" s="49" t="s">
        <v>16</v>
      </c>
      <c r="BC158" s="31" t="s">
        <v>298</v>
      </c>
      <c r="BD158" s="31" t="s">
        <v>299</v>
      </c>
      <c r="BE158" s="31" t="s">
        <v>19</v>
      </c>
      <c r="BF158" s="509" t="s">
        <v>20</v>
      </c>
    </row>
    <row r="159" spans="13:58" x14ac:dyDescent="0.25">
      <c r="AK159" s="441" t="s">
        <v>34</v>
      </c>
      <c r="AL159" s="359">
        <f>AL39+AL99</f>
        <v>75978</v>
      </c>
      <c r="AM159" s="359">
        <f>AM39+AM99</f>
        <v>86014</v>
      </c>
      <c r="AN159" s="359">
        <f t="shared" ref="AN159:AT160" si="123">AN99+AN39</f>
        <v>113678</v>
      </c>
      <c r="AO159" s="359">
        <f t="shared" si="123"/>
        <v>202308</v>
      </c>
      <c r="AP159" s="359">
        <f t="shared" si="123"/>
        <v>238837</v>
      </c>
      <c r="AQ159" s="359">
        <f t="shared" si="123"/>
        <v>252766</v>
      </c>
      <c r="AR159" s="359">
        <f t="shared" si="123"/>
        <v>261808</v>
      </c>
      <c r="AS159" s="359">
        <f t="shared" si="123"/>
        <v>241152</v>
      </c>
      <c r="AT159" s="359">
        <f t="shared" si="123"/>
        <v>237269</v>
      </c>
      <c r="AU159" s="359">
        <f>'[15]2018. I. - Állományi_Új'!B14+'[15]2018. I. - Állományi_Új'!C14+'[15]2018. I. - Állományi_Új'!H14+'[15]2018. I. - Állományi_Új'!I14</f>
        <v>258723</v>
      </c>
      <c r="AV159" s="360">
        <f>'[15]2018. II. - Állományi_Új'!B14+'[15]2018. II. - Állományi_Új'!C14+'[15]2018. II. - Állományi_Új'!H14+'[15]2018. II. - Állományi_Új'!I14</f>
        <v>260449</v>
      </c>
      <c r="AW159" s="359">
        <f>'[15]2018. III. - Állományi_Új'!B14+'[15]2018. III. - Állományi_Új'!C14+'[15]2018. III. - Állományi_Új'!H14+'[15]2018. III. - Állományi_Új'!I14</f>
        <v>262762</v>
      </c>
      <c r="AX159" s="359">
        <f>'[15]2018. IV. - Állományi_Új'!B14+'[15]2018. IV. - Állományi_Új'!C14+'[15]2018. IV. - Állományi_Új'!H14+'[15]2018. IV. - Állományi_Új'!I14</f>
        <v>229492</v>
      </c>
      <c r="AY159" s="359">
        <f>AZ99+AZ39</f>
        <v>272473</v>
      </c>
      <c r="AZ159" s="359">
        <f>AZ99+AZ39</f>
        <v>272473</v>
      </c>
      <c r="BA159" s="442">
        <f>'[15]2019. III. Állomány adatok'!B17+'[15]2019. III. Állomány adatok'!C17+'[15]2019. III. Állomány adatok'!J17+'[15]2019. III. Állomány adatok'!K17</f>
        <v>283216</v>
      </c>
      <c r="BB159" s="360">
        <v>222302</v>
      </c>
      <c r="BC159" s="359">
        <f>'[15]2020. I. Állomány adatok'!B18+'[15]2020. I. Állomány adatok'!C18+'[15]2020. I. Állomány adatok'!J18+'[15]2020. I. Állomány adatok'!K18</f>
        <v>267894</v>
      </c>
      <c r="BD159" s="359">
        <f>'[15]2020. II. Állományi adatok'!B18+'[15]2020. II. Állományi adatok'!C18+'[15]2020. II. Állományi adatok'!J18+'[15]2020. II. Állományi adatok'!K18</f>
        <v>270955</v>
      </c>
      <c r="BE159" s="359">
        <f>'[15]2020. III. Állományi adatok'!B18+'[15]2020. III. Állományi adatok'!C18+'[15]2020. III. Állományi adatok'!J18+'[15]2020. III. Állományi adatok'!K18</f>
        <v>275189</v>
      </c>
      <c r="BF159" s="443">
        <f>'[15]2020. IV. Állományi adatok'!B18+'[15]2020. IV. Állományi adatok'!C18+'[15]2020. IV. Állományi adatok'!J18+'[15]2020. IV. Állományi adatok'!K18</f>
        <v>274724</v>
      </c>
    </row>
    <row r="160" spans="13:58" ht="15.75" thickBot="1" x14ac:dyDescent="0.3">
      <c r="AK160" s="69" t="s">
        <v>35</v>
      </c>
      <c r="AL160" s="282">
        <f>AL40+AL100</f>
        <v>229219</v>
      </c>
      <c r="AM160" s="282">
        <f>AM100+AM40</f>
        <v>230078</v>
      </c>
      <c r="AN160" s="282">
        <f t="shared" si="123"/>
        <v>231837</v>
      </c>
      <c r="AO160" s="282">
        <f t="shared" si="123"/>
        <v>215555</v>
      </c>
      <c r="AP160" s="282">
        <f t="shared" si="123"/>
        <v>208791</v>
      </c>
      <c r="AQ160" s="282">
        <f t="shared" si="123"/>
        <v>205168</v>
      </c>
      <c r="AR160" s="282">
        <f t="shared" si="123"/>
        <v>206811</v>
      </c>
      <c r="AS160" s="282">
        <f t="shared" si="123"/>
        <v>197677</v>
      </c>
      <c r="AT160" s="282">
        <f t="shared" si="123"/>
        <v>178277</v>
      </c>
      <c r="AU160" s="282">
        <f>'[15]2018. I. - Állományi_Új'!B54+'[15]2018. I. - Állományi_Új'!C54+'[15]2018. I. - Állományi_Új'!H54+'[15]2018. I. - Állományi_Új'!I54</f>
        <v>195564</v>
      </c>
      <c r="AV160" s="283">
        <f>'[15]2018. II. - Állományi_Új'!B54+'[15]2018. II. - Állományi_Új'!C54+'[15]2018. II. - Állományi_Új'!H54+'[15]2018. II. - Állományi_Új'!I54</f>
        <v>203275</v>
      </c>
      <c r="AW160" s="282">
        <f>'[15]2018. III. - Állományi_Új'!B54+'[15]2018. III. - Állományi_Új'!C54+'[15]2018. III. - Állományi_Új'!H54+'[15]2018. III. - Állományi_Új'!I54</f>
        <v>209540</v>
      </c>
      <c r="AX160" s="282">
        <f>'[15]2018. IV. - Állományi_Új'!B54+'[15]2018. IV. - Állományi_Új'!C54+'[15]2018. IV. - Állományi_Új'!H54+'[15]2018. IV. - Állományi_Új'!I54</f>
        <v>185439</v>
      </c>
      <c r="AY160" s="282">
        <f>AZ100+AZ40</f>
        <v>247924</v>
      </c>
      <c r="AZ160" s="282">
        <f>AZ100+AZ40</f>
        <v>247924</v>
      </c>
      <c r="BA160" s="444">
        <f>'[15]2019. III. Állomány adatok'!B59+'[15]2019. III. Állomány adatok'!C59+'[15]2019. III. Állomány adatok'!J59+'[15]2019. III. Állomány adatok'!K59</f>
        <v>266092</v>
      </c>
      <c r="BB160" s="283">
        <v>244607</v>
      </c>
      <c r="BC160" s="282">
        <f>'[15]2020. I. Állomány adatok'!B65+'[15]2020. I. Állomány adatok'!C65+'[15]2020. I. Állomány adatok'!J65+'[15]2020. I. Állomány adatok'!K65</f>
        <v>273551</v>
      </c>
      <c r="BD160" s="282">
        <f>'[15]2020. II. Állományi adatok'!B65+'[15]2020. II. Állományi adatok'!C65+'[15]2020. II. Állományi adatok'!J65+'[15]2020. II. Állományi adatok'!K65</f>
        <v>288141</v>
      </c>
      <c r="BE160" s="282">
        <f>'[15]2020. III. Állományi adatok'!B65+'[15]2020. III. Állományi adatok'!C65+'[15]2020. III. Állományi adatok'!J65+'[15]2020. III. Állományi adatok'!K65</f>
        <v>307553</v>
      </c>
      <c r="BF160" s="445">
        <f>'[15]2020. IV. Állományi adatok'!B65+'[15]2020. IV. Állományi adatok'!C65+'[15]2020. IV. Állományi adatok'!J65+'[15]2020. IV. Állományi adatok'!K65</f>
        <v>330859</v>
      </c>
    </row>
    <row r="161" spans="37:58" x14ac:dyDescent="0.25">
      <c r="AK161" s="510" t="s">
        <v>367</v>
      </c>
      <c r="AL161" s="231">
        <f>AL159/AL163*100</f>
        <v>24.894740118677444</v>
      </c>
      <c r="AM161" s="232">
        <f t="shared" ref="AM161:BF161" si="124">AM159/AM163*100</f>
        <v>27.211697860116672</v>
      </c>
      <c r="AN161" s="232">
        <f t="shared" si="124"/>
        <v>32.901031793120417</v>
      </c>
      <c r="AO161" s="232">
        <f t="shared" si="124"/>
        <v>48.414911107228924</v>
      </c>
      <c r="AP161" s="232">
        <f t="shared" si="124"/>
        <v>53.356135004959469</v>
      </c>
      <c r="AQ161" s="232">
        <f t="shared" si="124"/>
        <v>55.197037127621009</v>
      </c>
      <c r="AR161" s="232">
        <f t="shared" si="124"/>
        <v>55.867986573314354</v>
      </c>
      <c r="AS161" s="232">
        <f t="shared" si="124"/>
        <v>54.953524037837063</v>
      </c>
      <c r="AT161" s="232">
        <f t="shared" si="124"/>
        <v>57.098131133496658</v>
      </c>
      <c r="AU161" s="232">
        <f t="shared" si="124"/>
        <v>56.951442590256818</v>
      </c>
      <c r="AV161" s="232">
        <f>AV159/AV163*100</f>
        <v>56.164658288119661</v>
      </c>
      <c r="AW161" s="232">
        <f t="shared" si="124"/>
        <v>55.634318719802152</v>
      </c>
      <c r="AX161" s="232">
        <f t="shared" si="124"/>
        <v>55.308472975024756</v>
      </c>
      <c r="AY161" s="232">
        <f t="shared" si="124"/>
        <v>52.358680007763304</v>
      </c>
      <c r="AZ161" s="232">
        <f t="shared" si="124"/>
        <v>52.358680007763304</v>
      </c>
      <c r="BA161" s="399">
        <f t="shared" si="124"/>
        <v>51.558688386114895</v>
      </c>
      <c r="BB161" s="399">
        <f t="shared" si="124"/>
        <v>47.611418927456953</v>
      </c>
      <c r="BC161" s="232">
        <f t="shared" si="124"/>
        <v>49.477601603117584</v>
      </c>
      <c r="BD161" s="232">
        <f t="shared" si="124"/>
        <v>48.463054645356074</v>
      </c>
      <c r="BE161" s="232">
        <f t="shared" si="124"/>
        <v>47.223127902227745</v>
      </c>
      <c r="BF161" s="205">
        <f t="shared" si="124"/>
        <v>45.365210053782882</v>
      </c>
    </row>
    <row r="162" spans="37:58" ht="15.75" thickBot="1" x14ac:dyDescent="0.3">
      <c r="AK162" s="290" t="s">
        <v>368</v>
      </c>
      <c r="AL162" s="511">
        <f>AL160/AL163*100</f>
        <v>75.105259881322553</v>
      </c>
      <c r="AM162" s="512">
        <f t="shared" ref="AM162:BF162" si="125">AM160/AM163*100</f>
        <v>72.788302139883314</v>
      </c>
      <c r="AN162" s="512">
        <f t="shared" si="125"/>
        <v>67.09896820687959</v>
      </c>
      <c r="AO162" s="512">
        <f t="shared" si="125"/>
        <v>51.585088892771083</v>
      </c>
      <c r="AP162" s="512">
        <f t="shared" si="125"/>
        <v>46.643864995040524</v>
      </c>
      <c r="AQ162" s="512">
        <f t="shared" si="125"/>
        <v>44.802962872378984</v>
      </c>
      <c r="AR162" s="512">
        <f t="shared" si="125"/>
        <v>44.132013426685646</v>
      </c>
      <c r="AS162" s="512">
        <f t="shared" si="125"/>
        <v>45.046475962162944</v>
      </c>
      <c r="AT162" s="512">
        <f t="shared" si="125"/>
        <v>42.901868866503342</v>
      </c>
      <c r="AU162" s="512">
        <f t="shared" si="125"/>
        <v>43.048557409743182</v>
      </c>
      <c r="AV162" s="512">
        <f t="shared" si="125"/>
        <v>43.835341711880346</v>
      </c>
      <c r="AW162" s="512">
        <f t="shared" si="125"/>
        <v>44.36568128019784</v>
      </c>
      <c r="AX162" s="512">
        <f t="shared" si="125"/>
        <v>44.691527024975237</v>
      </c>
      <c r="AY162" s="512">
        <f t="shared" si="125"/>
        <v>47.641319992236696</v>
      </c>
      <c r="AZ162" s="512">
        <f t="shared" si="125"/>
        <v>47.641319992236696</v>
      </c>
      <c r="BA162" s="513">
        <f t="shared" si="125"/>
        <v>48.441311613885105</v>
      </c>
      <c r="BB162" s="513">
        <f t="shared" si="125"/>
        <v>52.38858107254304</v>
      </c>
      <c r="BC162" s="512">
        <f t="shared" si="125"/>
        <v>50.522398396882416</v>
      </c>
      <c r="BD162" s="512">
        <f t="shared" si="125"/>
        <v>51.536945354643926</v>
      </c>
      <c r="BE162" s="512">
        <f t="shared" si="125"/>
        <v>52.776872097772255</v>
      </c>
      <c r="BF162" s="514">
        <f t="shared" si="125"/>
        <v>54.634789946217118</v>
      </c>
    </row>
    <row r="163" spans="37:58" x14ac:dyDescent="0.25">
      <c r="AK163" s="452" t="s">
        <v>369</v>
      </c>
      <c r="AL163" s="515">
        <f t="shared" ref="AL163:BF163" si="126">AL159+AL160</f>
        <v>305197</v>
      </c>
      <c r="AM163" s="516">
        <f t="shared" si="126"/>
        <v>316092</v>
      </c>
      <c r="AN163" s="516">
        <f t="shared" si="126"/>
        <v>345515</v>
      </c>
      <c r="AO163" s="516">
        <f t="shared" si="126"/>
        <v>417863</v>
      </c>
      <c r="AP163" s="516">
        <f t="shared" si="126"/>
        <v>447628</v>
      </c>
      <c r="AQ163" s="516">
        <f t="shared" si="126"/>
        <v>457934</v>
      </c>
      <c r="AR163" s="516">
        <f t="shared" si="126"/>
        <v>468619</v>
      </c>
      <c r="AS163" s="516">
        <f t="shared" si="126"/>
        <v>438829</v>
      </c>
      <c r="AT163" s="516">
        <f t="shared" si="126"/>
        <v>415546</v>
      </c>
      <c r="AU163" s="516">
        <f t="shared" si="126"/>
        <v>454287</v>
      </c>
      <c r="AV163" s="516">
        <f t="shared" si="126"/>
        <v>463724</v>
      </c>
      <c r="AW163" s="516">
        <f t="shared" si="126"/>
        <v>472302</v>
      </c>
      <c r="AX163" s="516">
        <f t="shared" si="126"/>
        <v>414931</v>
      </c>
      <c r="AY163" s="516">
        <f t="shared" si="126"/>
        <v>520397</v>
      </c>
      <c r="AZ163" s="516">
        <f t="shared" si="126"/>
        <v>520397</v>
      </c>
      <c r="BA163" s="516">
        <f t="shared" si="126"/>
        <v>549308</v>
      </c>
      <c r="BB163" s="517">
        <f t="shared" si="126"/>
        <v>466909</v>
      </c>
      <c r="BC163" s="516">
        <f t="shared" si="126"/>
        <v>541445</v>
      </c>
      <c r="BD163" s="516">
        <f t="shared" si="126"/>
        <v>559096</v>
      </c>
      <c r="BE163" s="516">
        <f t="shared" si="126"/>
        <v>582742</v>
      </c>
      <c r="BF163" s="518">
        <f t="shared" si="126"/>
        <v>605583</v>
      </c>
    </row>
    <row r="164" spans="37:58" x14ac:dyDescent="0.25">
      <c r="AK164" s="448" t="s">
        <v>370</v>
      </c>
      <c r="AL164" s="519">
        <f>AL163/AL165*100</f>
        <v>69.168653509686422</v>
      </c>
      <c r="AM164" s="519">
        <f>AM163/AM165*100</f>
        <v>68.966028843846132</v>
      </c>
      <c r="AN164" s="519">
        <f>AN163/AN165*100</f>
        <v>67.911292636809279</v>
      </c>
      <c r="AO164" s="519">
        <f t="shared" ref="AO164:AY164" si="127">AO163/AO165*100</f>
        <v>74.187838437638703</v>
      </c>
      <c r="AP164" s="519">
        <f t="shared" si="127"/>
        <v>73.98320772180351</v>
      </c>
      <c r="AQ164" s="519">
        <f t="shared" si="127"/>
        <v>73.566058347256131</v>
      </c>
      <c r="AR164" s="519">
        <f t="shared" si="127"/>
        <v>72.685211036040229</v>
      </c>
      <c r="AS164" s="519">
        <f t="shared" si="127"/>
        <v>71.861546296705697</v>
      </c>
      <c r="AT164" s="519">
        <f t="shared" si="127"/>
        <v>71.600432828825845</v>
      </c>
      <c r="AU164" s="519">
        <f t="shared" si="127"/>
        <v>73.376125183930114</v>
      </c>
      <c r="AV164" s="520">
        <f t="shared" si="127"/>
        <v>71.927756441675911</v>
      </c>
      <c r="AW164" s="521">
        <f t="shared" si="127"/>
        <v>70.767031662980742</v>
      </c>
      <c r="AX164" s="521">
        <f t="shared" si="127"/>
        <v>66.447433741692691</v>
      </c>
      <c r="AY164" s="521">
        <f t="shared" si="127"/>
        <v>76.018972715400508</v>
      </c>
      <c r="AZ164" s="521">
        <f>AZ163/AZ165*100</f>
        <v>72.016003033435609</v>
      </c>
      <c r="BA164" s="522">
        <f>BA163/BA165*100</f>
        <v>73.582785120767511</v>
      </c>
      <c r="BB164" s="522">
        <f t="shared" ref="BB164:BF164" si="128">BB163/BB165*100</f>
        <v>64.060439839364918</v>
      </c>
      <c r="BC164" s="521">
        <f t="shared" si="128"/>
        <v>73.853678232900108</v>
      </c>
      <c r="BD164" s="521">
        <f t="shared" si="128"/>
        <v>72.082915930167644</v>
      </c>
      <c r="BE164" s="521">
        <f t="shared" si="128"/>
        <v>71.720856502164892</v>
      </c>
      <c r="BF164" s="523">
        <f t="shared" si="128"/>
        <v>74.311683435122092</v>
      </c>
    </row>
    <row r="165" spans="37:58" x14ac:dyDescent="0.25">
      <c r="AK165" s="452" t="s">
        <v>36</v>
      </c>
      <c r="AL165" s="524">
        <v>441236</v>
      </c>
      <c r="AM165" s="304">
        <v>458330</v>
      </c>
      <c r="AN165" s="304">
        <v>508774</v>
      </c>
      <c r="AO165" s="304">
        <v>563250</v>
      </c>
      <c r="AP165" s="304">
        <v>605040</v>
      </c>
      <c r="AQ165" s="304">
        <v>622480</v>
      </c>
      <c r="AR165" s="304">
        <v>644724</v>
      </c>
      <c r="AS165" s="304">
        <v>610659</v>
      </c>
      <c r="AT165" s="304">
        <v>580368</v>
      </c>
      <c r="AU165" s="304">
        <v>619121</v>
      </c>
      <c r="AV165" s="305">
        <v>644708</v>
      </c>
      <c r="AW165" s="304">
        <v>667404</v>
      </c>
      <c r="AX165" s="304">
        <v>624450</v>
      </c>
      <c r="AY165" s="454">
        <v>684562</v>
      </c>
      <c r="AZ165" s="304">
        <v>722613</v>
      </c>
      <c r="BA165" s="454">
        <v>746517</v>
      </c>
      <c r="BB165" s="305">
        <v>728857</v>
      </c>
      <c r="BC165" s="304">
        <v>733132.07</v>
      </c>
      <c r="BD165" s="304">
        <v>775629</v>
      </c>
      <c r="BE165" s="304">
        <v>812514</v>
      </c>
      <c r="BF165" s="455">
        <v>814923</v>
      </c>
    </row>
    <row r="166" spans="37:58" x14ac:dyDescent="0.25">
      <c r="AK166" s="25" t="s">
        <v>307</v>
      </c>
      <c r="AL166" s="456">
        <v>0</v>
      </c>
      <c r="AM166" s="14">
        <f t="shared" ref="AM166:AV166" si="129">AM163/AL163*100-100</f>
        <v>3.5698253914684557</v>
      </c>
      <c r="AN166" s="14">
        <f t="shared" si="129"/>
        <v>9.3083659187831529</v>
      </c>
      <c r="AO166" s="14">
        <f t="shared" si="129"/>
        <v>20.939177749157054</v>
      </c>
      <c r="AP166" s="14">
        <f t="shared" si="129"/>
        <v>7.1231480174124044</v>
      </c>
      <c r="AQ166" s="14">
        <f t="shared" si="129"/>
        <v>2.3023582081549847</v>
      </c>
      <c r="AR166" s="14">
        <f t="shared" si="129"/>
        <v>2.3333056728698836</v>
      </c>
      <c r="AS166" s="14">
        <f t="shared" si="129"/>
        <v>-6.3569765630501536</v>
      </c>
      <c r="AT166" s="14">
        <f t="shared" si="129"/>
        <v>-5.3057113363064019</v>
      </c>
      <c r="AU166" s="14">
        <f t="shared" si="129"/>
        <v>9.3229149119471657</v>
      </c>
      <c r="AV166" s="29">
        <f t="shared" si="129"/>
        <v>2.0773211648143217</v>
      </c>
      <c r="AW166" s="14">
        <f>AW163/AV163*100-100</f>
        <v>1.8498072129111307</v>
      </c>
      <c r="AX166" s="14">
        <f>AX163/AW163*100-100</f>
        <v>-12.147100795677346</v>
      </c>
      <c r="AY166" s="14">
        <f>AY163/AX163*100-100</f>
        <v>25.417720054659696</v>
      </c>
      <c r="AZ166" s="14">
        <f>AZ163/AX163*100-100</f>
        <v>25.417720054659696</v>
      </c>
      <c r="BA166" s="29">
        <f t="shared" ref="BA166:BF166" si="130">BA163/AZ163*100-100</f>
        <v>5.5555662311658267</v>
      </c>
      <c r="BB166" s="29">
        <f t="shared" si="130"/>
        <v>-15.000509732244936</v>
      </c>
      <c r="BC166" s="14">
        <f t="shared" si="130"/>
        <v>15.963710273308067</v>
      </c>
      <c r="BD166" s="14">
        <f t="shared" si="130"/>
        <v>3.2599802380666603</v>
      </c>
      <c r="BE166" s="14">
        <f t="shared" si="130"/>
        <v>4.229327342710377</v>
      </c>
      <c r="BF166" s="211">
        <f t="shared" si="130"/>
        <v>3.9195733274759732</v>
      </c>
    </row>
    <row r="167" spans="37:58" x14ac:dyDescent="0.25">
      <c r="AK167" s="15" t="s">
        <v>312</v>
      </c>
      <c r="AL167" s="458">
        <f t="shared" ref="AL167:BF167" si="131">AL159/AL165*100</f>
        <v>17.2193565348249</v>
      </c>
      <c r="AM167" s="458">
        <f t="shared" si="131"/>
        <v>18.766827395108329</v>
      </c>
      <c r="AN167" s="458">
        <f t="shared" si="131"/>
        <v>22.343515981555662</v>
      </c>
      <c r="AO167" s="458">
        <f t="shared" si="131"/>
        <v>35.917976031957387</v>
      </c>
      <c r="AP167" s="458">
        <f t="shared" si="131"/>
        <v>39.474580193045092</v>
      </c>
      <c r="AQ167" s="458">
        <f t="shared" si="131"/>
        <v>40.606284539262305</v>
      </c>
      <c r="AR167" s="458">
        <f t="shared" si="131"/>
        <v>40.607763942400162</v>
      </c>
      <c r="AS167" s="458">
        <f t="shared" si="131"/>
        <v>39.490452118121574</v>
      </c>
      <c r="AT167" s="458">
        <f t="shared" si="131"/>
        <v>40.882509028754171</v>
      </c>
      <c r="AU167" s="458">
        <f t="shared" si="131"/>
        <v>41.788761809080938</v>
      </c>
      <c r="AV167" s="459">
        <f t="shared" si="131"/>
        <v>40.397978619778257</v>
      </c>
      <c r="AW167" s="14">
        <f t="shared" si="131"/>
        <v>39.370755943926014</v>
      </c>
      <c r="AX167" s="14">
        <f t="shared" si="131"/>
        <v>36.751060933621588</v>
      </c>
      <c r="AY167" s="14">
        <f t="shared" si="131"/>
        <v>39.802530669245442</v>
      </c>
      <c r="AZ167" s="14">
        <f t="shared" si="131"/>
        <v>37.706628582657657</v>
      </c>
      <c r="BA167" s="29">
        <f t="shared" si="131"/>
        <v>37.938318886241035</v>
      </c>
      <c r="BB167" s="29">
        <f t="shared" si="131"/>
        <v>30.500084378691568</v>
      </c>
      <c r="BC167" s="14">
        <f t="shared" si="131"/>
        <v>36.541028685322694</v>
      </c>
      <c r="BD167" s="14">
        <f t="shared" si="131"/>
        <v>34.933582937203219</v>
      </c>
      <c r="BE167" s="14">
        <f t="shared" si="131"/>
        <v>33.868831798590548</v>
      </c>
      <c r="BF167" s="211">
        <f t="shared" si="131"/>
        <v>33.711651284845317</v>
      </c>
    </row>
    <row r="168" spans="37:58" ht="15.75" thickBot="1" x14ac:dyDescent="0.3">
      <c r="AK168" s="15" t="s">
        <v>313</v>
      </c>
      <c r="AL168" s="460">
        <f t="shared" ref="AL168:BF168" si="132">AL160/AL165*100</f>
        <v>51.949296974861525</v>
      </c>
      <c r="AM168" s="460">
        <f t="shared" si="132"/>
        <v>50.19920144873781</v>
      </c>
      <c r="AN168" s="460">
        <f t="shared" si="132"/>
        <v>45.56777665525361</v>
      </c>
      <c r="AO168" s="460">
        <f t="shared" si="132"/>
        <v>38.269862405681316</v>
      </c>
      <c r="AP168" s="460">
        <f t="shared" si="132"/>
        <v>34.508627528758431</v>
      </c>
      <c r="AQ168" s="460">
        <f t="shared" si="132"/>
        <v>32.959773807993834</v>
      </c>
      <c r="AR168" s="460">
        <f t="shared" si="132"/>
        <v>32.077447093640075</v>
      </c>
      <c r="AS168" s="460">
        <f t="shared" si="132"/>
        <v>32.371094178584123</v>
      </c>
      <c r="AT168" s="460">
        <f t="shared" si="132"/>
        <v>30.717923800071677</v>
      </c>
      <c r="AU168" s="460">
        <f t="shared" si="132"/>
        <v>31.587363374849183</v>
      </c>
      <c r="AV168" s="461">
        <f t="shared" si="132"/>
        <v>31.529777821897664</v>
      </c>
      <c r="AW168" s="481">
        <f t="shared" si="132"/>
        <v>31.396275719054728</v>
      </c>
      <c r="AX168" s="481">
        <f t="shared" si="132"/>
        <v>29.696372808071104</v>
      </c>
      <c r="AY168" s="481">
        <f t="shared" si="132"/>
        <v>36.216442046155059</v>
      </c>
      <c r="AZ168" s="481">
        <f t="shared" si="132"/>
        <v>34.309374450777938</v>
      </c>
      <c r="BA168" s="462">
        <f t="shared" si="132"/>
        <v>35.644466234526476</v>
      </c>
      <c r="BB168" s="462">
        <f t="shared" si="132"/>
        <v>33.560355460673357</v>
      </c>
      <c r="BC168" s="481">
        <f t="shared" si="132"/>
        <v>37.312649547577422</v>
      </c>
      <c r="BD168" s="481">
        <f t="shared" si="132"/>
        <v>37.149332992964418</v>
      </c>
      <c r="BE168" s="481">
        <f t="shared" si="132"/>
        <v>37.852024703574337</v>
      </c>
      <c r="BF168" s="463">
        <f t="shared" si="132"/>
        <v>40.600032150276775</v>
      </c>
    </row>
    <row r="169" spans="37:58" ht="15.75" thickBot="1" x14ac:dyDescent="0.3">
      <c r="AK169" s="325" t="s">
        <v>26</v>
      </c>
      <c r="AL169" s="464">
        <v>825056</v>
      </c>
      <c r="AM169" s="465">
        <v>848204</v>
      </c>
      <c r="AN169" s="465">
        <v>924696</v>
      </c>
      <c r="AO169" s="465">
        <v>985514</v>
      </c>
      <c r="AP169" s="465">
        <v>997791</v>
      </c>
      <c r="AQ169" s="465">
        <v>1005984</v>
      </c>
      <c r="AR169" s="465">
        <v>1073238</v>
      </c>
      <c r="AS169" s="465">
        <v>1070624</v>
      </c>
      <c r="AT169" s="465">
        <v>1030760</v>
      </c>
      <c r="AU169" s="465">
        <v>1072544</v>
      </c>
      <c r="AV169" s="465">
        <v>1109892</v>
      </c>
      <c r="AW169" s="465">
        <v>1163376</v>
      </c>
      <c r="AX169" s="465">
        <v>1129593</v>
      </c>
      <c r="AY169" s="465">
        <v>1205011</v>
      </c>
      <c r="AZ169" s="465">
        <v>1233423</v>
      </c>
      <c r="BA169" s="466">
        <v>1292983</v>
      </c>
      <c r="BB169" s="466">
        <v>1269580</v>
      </c>
      <c r="BC169" s="465">
        <v>1292276.71</v>
      </c>
      <c r="BD169" s="465">
        <v>1306049</v>
      </c>
      <c r="BE169" s="465">
        <v>1405757</v>
      </c>
      <c r="BF169" s="467">
        <v>1431391</v>
      </c>
    </row>
    <row r="170" spans="37:58" ht="15.75" thickBot="1" x14ac:dyDescent="0.3">
      <c r="AK170" s="8" t="s">
        <v>317</v>
      </c>
      <c r="AL170" s="9">
        <f t="shared" ref="AL170:AY170" si="133">AL163/AL169*100</f>
        <v>36.991064848931465</v>
      </c>
      <c r="AM170" s="10">
        <f t="shared" si="133"/>
        <v>37.266035057604071</v>
      </c>
      <c r="AN170" s="10">
        <f t="shared" si="133"/>
        <v>37.365253012882071</v>
      </c>
      <c r="AO170" s="10">
        <f t="shared" si="133"/>
        <v>42.400513843537482</v>
      </c>
      <c r="AP170" s="10">
        <f t="shared" si="133"/>
        <v>44.861899936960747</v>
      </c>
      <c r="AQ170" s="10">
        <f t="shared" si="133"/>
        <v>45.521002322104529</v>
      </c>
      <c r="AR170" s="10">
        <f t="shared" si="133"/>
        <v>43.664033513535671</v>
      </c>
      <c r="AS170" s="10">
        <f t="shared" si="133"/>
        <v>40.988152703470128</v>
      </c>
      <c r="AT170" s="10">
        <f t="shared" si="133"/>
        <v>40.31452520470333</v>
      </c>
      <c r="AU170" s="10">
        <f t="shared" si="133"/>
        <v>42.356024554703581</v>
      </c>
      <c r="AV170" s="10">
        <f t="shared" si="133"/>
        <v>41.781002115521147</v>
      </c>
      <c r="AW170" s="10">
        <f t="shared" si="133"/>
        <v>40.597536823864338</v>
      </c>
      <c r="AX170" s="10">
        <f t="shared" si="133"/>
        <v>36.732787827120035</v>
      </c>
      <c r="AY170" s="10">
        <f t="shared" si="133"/>
        <v>43.186078799280672</v>
      </c>
      <c r="AZ170" s="10">
        <f>AZ163/AZ169*100</f>
        <v>42.191283930979075</v>
      </c>
      <c r="BA170" s="193">
        <f>BA163/BA169*100</f>
        <v>42.483775888778119</v>
      </c>
      <c r="BB170" s="193">
        <f t="shared" ref="BB170:BF170" si="134">BB163/BB169*100</f>
        <v>36.776650545849812</v>
      </c>
      <c r="BC170" s="10">
        <f t="shared" si="134"/>
        <v>41.898534254323906</v>
      </c>
      <c r="BD170" s="10">
        <f t="shared" si="134"/>
        <v>42.808194792079014</v>
      </c>
      <c r="BE170" s="10">
        <f t="shared" si="134"/>
        <v>41.453963949672669</v>
      </c>
      <c r="BF170" s="192">
        <f t="shared" si="134"/>
        <v>42.30730806607</v>
      </c>
    </row>
    <row r="172" spans="37:58" ht="15.75" thickBot="1" x14ac:dyDescent="0.3"/>
    <row r="173" spans="37:58" ht="19.5" thickBot="1" x14ac:dyDescent="0.35">
      <c r="AK173" s="1112" t="s">
        <v>371</v>
      </c>
      <c r="AL173" s="1113"/>
      <c r="AM173" s="1113"/>
      <c r="AN173" s="1113"/>
      <c r="AO173" s="1113"/>
      <c r="AP173" s="1113"/>
      <c r="AQ173" s="1113"/>
      <c r="AR173" s="1113"/>
      <c r="AS173" s="1113"/>
      <c r="AT173" s="1113"/>
      <c r="AU173" s="1113"/>
      <c r="AV173" s="1113"/>
      <c r="AW173" s="1113"/>
      <c r="AX173" s="1113"/>
      <c r="AY173" s="1113"/>
      <c r="AZ173" s="1113"/>
      <c r="BA173" s="1113"/>
      <c r="BB173" s="1113"/>
      <c r="BC173" s="1113"/>
      <c r="BD173" s="1113"/>
      <c r="BE173" s="1113"/>
      <c r="BF173" s="1114"/>
    </row>
    <row r="174" spans="37:58" ht="15.75" thickBot="1" x14ac:dyDescent="0.3"/>
    <row r="175" spans="37:58" ht="15.75" thickBot="1" x14ac:dyDescent="0.3">
      <c r="AK175" s="525" t="s">
        <v>372</v>
      </c>
      <c r="AL175" s="526" t="s">
        <v>0</v>
      </c>
      <c r="AM175" s="31" t="s">
        <v>1</v>
      </c>
      <c r="AN175" s="31" t="s">
        <v>2</v>
      </c>
      <c r="AO175" s="31" t="s">
        <v>3</v>
      </c>
      <c r="AP175" s="31" t="s">
        <v>4</v>
      </c>
      <c r="AQ175" s="31" t="s">
        <v>5</v>
      </c>
      <c r="AR175" s="31" t="s">
        <v>6</v>
      </c>
      <c r="AS175" s="31" t="s">
        <v>7</v>
      </c>
      <c r="AT175" s="31" t="s">
        <v>27</v>
      </c>
      <c r="AU175" s="31" t="s">
        <v>9</v>
      </c>
      <c r="AV175" s="31" t="s">
        <v>10</v>
      </c>
      <c r="AW175" s="79" t="s">
        <v>11</v>
      </c>
      <c r="AX175" s="31" t="s">
        <v>12</v>
      </c>
      <c r="AY175" s="79" t="s">
        <v>13</v>
      </c>
      <c r="AZ175" s="31" t="s">
        <v>14</v>
      </c>
      <c r="BA175" s="49" t="s">
        <v>15</v>
      </c>
      <c r="BB175" s="49" t="s">
        <v>16</v>
      </c>
      <c r="BC175" s="31" t="s">
        <v>298</v>
      </c>
      <c r="BD175" s="31" t="s">
        <v>299</v>
      </c>
      <c r="BE175" s="31" t="s">
        <v>19</v>
      </c>
      <c r="BF175" s="174" t="s">
        <v>20</v>
      </c>
    </row>
    <row r="176" spans="37:58" x14ac:dyDescent="0.25">
      <c r="AK176" s="527" t="s">
        <v>34</v>
      </c>
      <c r="AL176" s="359">
        <f t="shared" ref="AL176:AT177" si="135">AL116+AL59</f>
        <v>1585</v>
      </c>
      <c r="AM176" s="359">
        <f t="shared" si="135"/>
        <v>1744</v>
      </c>
      <c r="AN176" s="359">
        <f t="shared" si="135"/>
        <v>1779</v>
      </c>
      <c r="AO176" s="359">
        <f t="shared" si="135"/>
        <v>2111</v>
      </c>
      <c r="AP176" s="359">
        <f t="shared" si="135"/>
        <v>2583</v>
      </c>
      <c r="AQ176" s="359">
        <f t="shared" si="135"/>
        <v>3455</v>
      </c>
      <c r="AR176" s="359">
        <f t="shared" si="135"/>
        <v>4211</v>
      </c>
      <c r="AS176" s="359">
        <f t="shared" si="135"/>
        <v>2389</v>
      </c>
      <c r="AT176" s="359">
        <f t="shared" si="135"/>
        <v>5696</v>
      </c>
      <c r="AU176" s="359">
        <f>'[15]2018. I. - Állományi_Új'!B29+'[15]2018. I. - Állományi_Új'!C29+'[15]2018. I. - Állományi_Új'!H29+'[15]2018. I. - Állományi_Új'!I29</f>
        <v>5940</v>
      </c>
      <c r="AV176" s="359">
        <f>'[15]2018. II. - Állományi_Új'!B29+'[15]2018. II. - Állományi_Új'!C29+'[15]2018. II. - Állományi_Új'!H29+'[15]2018. II. - Állományi_Új'!I29</f>
        <v>2545</v>
      </c>
      <c r="AW176" s="360">
        <f>'[15]2018. III. - Állományi_Új'!B29+'[15]2018. III. - Állományi_Új'!C29+'[15]2018. III. - Állományi_Új'!H29+'[15]2018. III. - Állományi_Új'!I29</f>
        <v>2542</v>
      </c>
      <c r="AX176" s="360">
        <f>'[15]2018. IV. - Állományi_Új'!B29+'[15]2018. IV. - Állományi_Új'!C29+'[15]2018. IV. - Állományi_Új'!I29</f>
        <v>3484</v>
      </c>
      <c r="AY176" s="359">
        <f>'[15]2019. I. Állomány adatok_Korr'!B34+'[15]2019. I. Állomány adatok_Korr'!C34+'[15]2019. I. Állomány adatok_Korr'!J34+'[15]2019. I. Állomány adatok_Korr'!K34</f>
        <v>2727</v>
      </c>
      <c r="AZ176" s="360">
        <f>AZ116+AZ59</f>
        <v>2900</v>
      </c>
      <c r="BA176" s="360">
        <f>'[15]2019. III. Állomány adatok'!B32+'[15]2019. III. Állomány adatok'!C32+'[15]2019. III. Állomány adatok'!J32+'[15]2019. III. Állomány adatok'!K32</f>
        <v>3094</v>
      </c>
      <c r="BB176" s="360">
        <v>2714</v>
      </c>
      <c r="BC176" s="359">
        <f>'[15]2020. I. Állomány adatok'!B34+'[15]2020. I. Állomány adatok'!C34+'[15]2020. I. Állomány adatok'!J34+'[15]2020. I. Állomány adatok'!K34</f>
        <v>3481</v>
      </c>
      <c r="BD176" s="359">
        <f>'[15]2020. II. Állományi adatok'!B34+'[15]2020. II. Állományi adatok'!C34+'[15]2020. II. Állományi adatok'!J34+'[15]2020. II. Állományi adatok'!K34</f>
        <v>3319</v>
      </c>
      <c r="BE176" s="359">
        <f>'[15]2020. III. Állományi adatok'!B34+'[15]2020. III. Állományi adatok'!C34+'[15]2020. III. Állományi adatok'!J34+'[15]2020. III. Állományi adatok'!K34</f>
        <v>3593</v>
      </c>
      <c r="BF176" s="443">
        <f>'[15]2020. IV. Állományi adatok'!B34+'[15]2020. IV. Állományi adatok'!C34+'[15]2020. IV. Állományi adatok'!J34+'[15]2020. IV. Állományi adatok'!K34</f>
        <v>3604</v>
      </c>
    </row>
    <row r="177" spans="10:58" ht="15.75" thickBot="1" x14ac:dyDescent="0.3">
      <c r="AK177" s="528" t="s">
        <v>35</v>
      </c>
      <c r="AL177" s="282">
        <f t="shared" si="135"/>
        <v>184302</v>
      </c>
      <c r="AM177" s="282">
        <f t="shared" si="135"/>
        <v>197249</v>
      </c>
      <c r="AN177" s="282">
        <f t="shared" si="135"/>
        <v>200377</v>
      </c>
      <c r="AO177" s="282">
        <f t="shared" si="135"/>
        <v>216606</v>
      </c>
      <c r="AP177" s="282">
        <f t="shared" si="135"/>
        <v>214672</v>
      </c>
      <c r="AQ177" s="282">
        <f t="shared" si="135"/>
        <v>216746</v>
      </c>
      <c r="AR177" s="282">
        <f t="shared" si="135"/>
        <v>231652</v>
      </c>
      <c r="AS177" s="282">
        <f t="shared" si="135"/>
        <v>242226</v>
      </c>
      <c r="AT177" s="282">
        <f t="shared" si="135"/>
        <v>228278</v>
      </c>
      <c r="AU177" s="282">
        <f>'[15]2018. I. - Állományi_Új'!B69+'[15]2018. I. - Állományi_Új'!C69+'[15]2018. I. - Állományi_Új'!H69+'[15]2018. I. - Állományi_Új'!I69</f>
        <v>231065</v>
      </c>
      <c r="AV177" s="282">
        <f>'[15]2018. II. - Állományi_Új'!B69+'[15]2018. II. - Állományi_Új'!C69+'[15]2018. II. - Állományi_Új'!H69+'[15]2018. II. - Állományi_Új'!I69</f>
        <v>261481</v>
      </c>
      <c r="AW177" s="283">
        <f>'[15]2018. III. - Állományi_Új'!B69+'[15]2018. III. - Állományi_Új'!C69+'[15]2018. III. - Állományi_Új'!H69+'[15]2018. III. - Állományi_Új'!I69</f>
        <v>276123</v>
      </c>
      <c r="AX177" s="283">
        <f>'[15]2018. IV. - Állományi_Új'!B69+'[15]2018. IV. - Állományi_Új'!C69+'[15]2018. IV. - Állományi_Új'!H69+'[15]2018. IV. - Állományi_Új'!I69</f>
        <v>269903</v>
      </c>
      <c r="AY177" s="282">
        <f>'[15]2019. I. Állomány adatok_Korr'!B76+'[15]2019. I. Állomány adatok_Korr'!C76+'[15]2019. I. Állomány adatok_Korr'!J76+'[15]2019. I. Állomány adatok_Korr'!K76</f>
        <v>290949</v>
      </c>
      <c r="AZ177" s="283">
        <f>AZ117+AZ60</f>
        <v>293724</v>
      </c>
      <c r="BA177" s="283">
        <f>'[15]2019. III. Állomány adatok'!B74+'[15]2019. III. Állomány adatok'!C74+'[15]2019. III. Állomány adatok'!J74+'[15]2019. III. Állomány adatok'!K74</f>
        <v>309037</v>
      </c>
      <c r="BB177" s="283">
        <v>288307</v>
      </c>
      <c r="BC177" s="282">
        <f>'[15]2020. I. Állomány adatok'!B81+'[15]2020. I. Állomány adatok'!C81+'[15]2020. I. Állomány adatok'!J81+'[15]2020. I. Állomány adatok'!K81</f>
        <v>304662</v>
      </c>
      <c r="BD177" s="282">
        <f>'[15]2020. II. Állományi adatok'!B81+'[15]2020. II. Állományi adatok'!C81+'[15]2020. II. Állományi adatok'!J81+'[15]2020. II. Állományi adatok'!K81</f>
        <v>303061</v>
      </c>
      <c r="BE177" s="282">
        <f>'[15]2020. III. Állományi adatok'!B81+'[15]2020. III. Állományi adatok'!C81+'[15]2020. III. Állományi adatok'!J81+'[15]2020. III. Állományi adatok'!K81</f>
        <v>355265</v>
      </c>
      <c r="BF177" s="445">
        <f>'[15]2020. IV. Állományi adatok'!B81+'[15]2020. IV. Állományi adatok'!C81+'[15]2020. IV. Állományi adatok'!J81+'[15]2020. IV. Állományi adatok'!K81</f>
        <v>374717</v>
      </c>
    </row>
    <row r="178" spans="10:58" ht="15.75" thickBot="1" x14ac:dyDescent="0.3">
      <c r="AK178" s="510" t="s">
        <v>367</v>
      </c>
      <c r="AL178" s="245">
        <f>AL176/AL180*100</f>
        <v>0.85266855670380393</v>
      </c>
      <c r="AM178" s="220">
        <f t="shared" ref="AM178:AW178" si="136">AM176/AM180*100</f>
        <v>0.87641273813651743</v>
      </c>
      <c r="AN178" s="220">
        <f t="shared" si="136"/>
        <v>0.88001345495557892</v>
      </c>
      <c r="AO178" s="220">
        <f t="shared" si="136"/>
        <v>0.96517417484694823</v>
      </c>
      <c r="AP178" s="220">
        <f t="shared" si="136"/>
        <v>1.1889254562610756</v>
      </c>
      <c r="AQ178" s="220">
        <f t="shared" si="136"/>
        <v>1.5690210307855095</v>
      </c>
      <c r="AR178" s="220">
        <f t="shared" si="136"/>
        <v>1.7853584496084591</v>
      </c>
      <c r="AS178" s="220">
        <f t="shared" si="136"/>
        <v>0.97663675571816932</v>
      </c>
      <c r="AT178" s="220">
        <f t="shared" si="136"/>
        <v>2.4344585295802097</v>
      </c>
      <c r="AU178" s="220">
        <f t="shared" si="136"/>
        <v>2.5062762388979136</v>
      </c>
      <c r="AV178" s="220">
        <f t="shared" si="136"/>
        <v>0.96392021997833544</v>
      </c>
      <c r="AW178" s="220">
        <f t="shared" si="136"/>
        <v>0.91220641271777936</v>
      </c>
      <c r="AX178" s="220">
        <f>AX176/AX180*100</f>
        <v>1.2743839319353152</v>
      </c>
      <c r="AY178" s="232">
        <f t="shared" ref="AY178" si="137">AY176/AY180*100</f>
        <v>0.92857434723981525</v>
      </c>
      <c r="AZ178" s="220">
        <f>AZ176/AZ180*100</f>
        <v>0.97766869841954795</v>
      </c>
      <c r="BA178" s="220">
        <f>BA176/BA180*100</f>
        <v>0.99125046855326771</v>
      </c>
      <c r="BB178" s="399">
        <f>BB176/BB180*100</f>
        <v>0.93257874861264312</v>
      </c>
      <c r="BC178" s="399">
        <f t="shared" ref="BC178" si="138">BC176/BC180*100</f>
        <v>1.1296703154055099</v>
      </c>
      <c r="BD178" s="399">
        <f>BD176/BD180*100</f>
        <v>1.0832952542594163</v>
      </c>
      <c r="BE178" s="399">
        <f>BE176/BE180*100</f>
        <v>1.0012316849561664</v>
      </c>
      <c r="BF178" s="205">
        <f>BF176/BF180*100</f>
        <v>0.95263017384707693</v>
      </c>
    </row>
    <row r="179" spans="10:58" ht="15.75" thickBot="1" x14ac:dyDescent="0.3">
      <c r="J179" s="3" t="s">
        <v>42</v>
      </c>
      <c r="K179" s="95" t="s">
        <v>0</v>
      </c>
      <c r="L179" s="94" t="s">
        <v>1</v>
      </c>
      <c r="M179" s="94" t="s">
        <v>2</v>
      </c>
      <c r="N179" s="94" t="s">
        <v>3</v>
      </c>
      <c r="O179" s="94" t="s">
        <v>4</v>
      </c>
      <c r="P179" s="94" t="s">
        <v>5</v>
      </c>
      <c r="Q179" s="94" t="s">
        <v>6</v>
      </c>
      <c r="R179" s="94" t="s">
        <v>7</v>
      </c>
      <c r="S179" s="94" t="s">
        <v>27</v>
      </c>
      <c r="T179" s="94" t="s">
        <v>9</v>
      </c>
      <c r="U179" s="94" t="s">
        <v>10</v>
      </c>
      <c r="V179" s="94" t="s">
        <v>11</v>
      </c>
      <c r="W179" s="73" t="s">
        <v>12</v>
      </c>
      <c r="X179" s="94" t="s">
        <v>13</v>
      </c>
      <c r="Y179" s="94" t="s">
        <v>14</v>
      </c>
      <c r="Z179" s="73" t="s">
        <v>15</v>
      </c>
      <c r="AA179" s="75" t="s">
        <v>16</v>
      </c>
      <c r="AB179" s="75" t="s">
        <v>17</v>
      </c>
      <c r="AC179" s="75" t="s">
        <v>18</v>
      </c>
      <c r="AD179" s="75" t="s">
        <v>19</v>
      </c>
      <c r="AE179" s="94" t="s">
        <v>20</v>
      </c>
      <c r="AF179" s="94" t="s">
        <v>202</v>
      </c>
      <c r="AG179" s="94" t="s">
        <v>21</v>
      </c>
      <c r="AH179" s="94" t="s">
        <v>22</v>
      </c>
      <c r="AI179" s="94" t="s">
        <v>203</v>
      </c>
      <c r="AK179" s="290" t="s">
        <v>368</v>
      </c>
      <c r="AL179" s="365">
        <f>AL177/AL180*100</f>
        <v>99.147331443296196</v>
      </c>
      <c r="AM179" s="292">
        <f t="shared" ref="AM179:AW179" si="139">AM177/AM180*100</f>
        <v>99.123587261863477</v>
      </c>
      <c r="AN179" s="292">
        <f t="shared" si="139"/>
        <v>99.119986545044426</v>
      </c>
      <c r="AO179" s="292">
        <f t="shared" si="139"/>
        <v>99.03482582515305</v>
      </c>
      <c r="AP179" s="292">
        <f t="shared" si="139"/>
        <v>98.811074543738926</v>
      </c>
      <c r="AQ179" s="292">
        <f t="shared" si="139"/>
        <v>98.430978969214493</v>
      </c>
      <c r="AR179" s="292">
        <f t="shared" si="139"/>
        <v>98.214641550391548</v>
      </c>
      <c r="AS179" s="292">
        <f t="shared" si="139"/>
        <v>99.023363244281825</v>
      </c>
      <c r="AT179" s="292">
        <f t="shared" si="139"/>
        <v>97.565541470419788</v>
      </c>
      <c r="AU179" s="292">
        <f t="shared" si="139"/>
        <v>97.493723761102089</v>
      </c>
      <c r="AV179" s="292">
        <f t="shared" si="139"/>
        <v>99.036079780021666</v>
      </c>
      <c r="AW179" s="292">
        <f t="shared" si="139"/>
        <v>99.087793587282221</v>
      </c>
      <c r="AX179" s="292">
        <f>AX177/AX180*100</f>
        <v>98.725616068064681</v>
      </c>
      <c r="AY179" s="512">
        <f t="shared" ref="AY179" si="140">AY177/AY180*100</f>
        <v>99.071425652760183</v>
      </c>
      <c r="AZ179" s="292">
        <f>AZ177/AZ180*100</f>
        <v>99.022331301580451</v>
      </c>
      <c r="BA179" s="292">
        <f>BA177/BA180*100</f>
        <v>99.008749531446725</v>
      </c>
      <c r="BB179" s="513">
        <f>BB177/BB180*100</f>
        <v>99.067421251387358</v>
      </c>
      <c r="BC179" s="513">
        <f t="shared" ref="BC179:BF179" si="141">BC177/BC180*100</f>
        <v>98.870329684594495</v>
      </c>
      <c r="BD179" s="513">
        <f t="shared" si="141"/>
        <v>98.916704745740574</v>
      </c>
      <c r="BE179" s="513">
        <f t="shared" si="141"/>
        <v>98.998768315043833</v>
      </c>
      <c r="BF179" s="514">
        <f t="shared" si="141"/>
        <v>99.047369826152917</v>
      </c>
    </row>
    <row r="180" spans="10:58" x14ac:dyDescent="0.25">
      <c r="J180" s="23" t="s">
        <v>53</v>
      </c>
      <c r="K180" s="529">
        <v>2.7850000000000001</v>
      </c>
      <c r="L180" s="529">
        <v>2.9780000000000002</v>
      </c>
      <c r="M180" s="529">
        <v>3.1360000000000001</v>
      </c>
      <c r="N180" s="529">
        <v>3.6110000000000002</v>
      </c>
      <c r="O180" s="529">
        <v>3.956</v>
      </c>
      <c r="P180" s="529">
        <v>4.8659999999999997</v>
      </c>
      <c r="Q180" s="529">
        <v>6.492</v>
      </c>
      <c r="R180" s="529">
        <v>4.1269999999999998</v>
      </c>
      <c r="S180" s="529">
        <v>8.2780000000000005</v>
      </c>
      <c r="T180" s="529">
        <v>8.5220000000000002</v>
      </c>
      <c r="U180" s="529">
        <v>4.0369999999999999</v>
      </c>
      <c r="V180" s="529">
        <v>4.0789999999999997</v>
      </c>
      <c r="W180" s="529">
        <v>7.4290000000000003</v>
      </c>
      <c r="X180" s="529">
        <v>4.9889999999999999</v>
      </c>
      <c r="Y180" s="529">
        <v>4.726</v>
      </c>
      <c r="Z180" s="529">
        <v>5.0359999999999996</v>
      </c>
      <c r="AA180" s="529">
        <v>5.6319999999999997</v>
      </c>
      <c r="AB180" s="529">
        <v>5.5838000000000001</v>
      </c>
      <c r="AC180" s="529">
        <v>5.4050000000000002</v>
      </c>
      <c r="AD180" s="529">
        <v>6.0309999999999997</v>
      </c>
      <c r="AE180" s="529">
        <v>6.1470000000000002</v>
      </c>
      <c r="AF180" s="529">
        <v>6.0640000000000001</v>
      </c>
      <c r="AG180" s="5"/>
      <c r="AH180" s="5"/>
      <c r="AI180" s="5"/>
      <c r="AK180" s="345" t="s">
        <v>373</v>
      </c>
      <c r="AL180" s="370">
        <f t="shared" ref="AL180:BF180" si="142">AL176+AL177</f>
        <v>185887</v>
      </c>
      <c r="AM180" s="371">
        <f t="shared" si="142"/>
        <v>198993</v>
      </c>
      <c r="AN180" s="371">
        <f t="shared" si="142"/>
        <v>202156</v>
      </c>
      <c r="AO180" s="371">
        <f t="shared" si="142"/>
        <v>218717</v>
      </c>
      <c r="AP180" s="371">
        <f t="shared" si="142"/>
        <v>217255</v>
      </c>
      <c r="AQ180" s="371">
        <f t="shared" si="142"/>
        <v>220201</v>
      </c>
      <c r="AR180" s="371">
        <f t="shared" si="142"/>
        <v>235863</v>
      </c>
      <c r="AS180" s="371">
        <f t="shared" si="142"/>
        <v>244615</v>
      </c>
      <c r="AT180" s="371">
        <f t="shared" si="142"/>
        <v>233974</v>
      </c>
      <c r="AU180" s="371">
        <f t="shared" si="142"/>
        <v>237005</v>
      </c>
      <c r="AV180" s="371">
        <f t="shared" si="142"/>
        <v>264026</v>
      </c>
      <c r="AW180" s="371">
        <f t="shared" si="142"/>
        <v>278665</v>
      </c>
      <c r="AX180" s="371">
        <f t="shared" si="142"/>
        <v>273387</v>
      </c>
      <c r="AY180" s="371">
        <f t="shared" si="142"/>
        <v>293676</v>
      </c>
      <c r="AZ180" s="371">
        <f t="shared" si="142"/>
        <v>296624</v>
      </c>
      <c r="BA180" s="371">
        <f t="shared" si="142"/>
        <v>312131</v>
      </c>
      <c r="BB180" s="372">
        <f t="shared" si="142"/>
        <v>291021</v>
      </c>
      <c r="BC180" s="372">
        <f t="shared" si="142"/>
        <v>308143</v>
      </c>
      <c r="BD180" s="372">
        <f t="shared" si="142"/>
        <v>306380</v>
      </c>
      <c r="BE180" s="372">
        <f t="shared" si="142"/>
        <v>358858</v>
      </c>
      <c r="BF180" s="447">
        <f t="shared" si="142"/>
        <v>378321</v>
      </c>
    </row>
    <row r="181" spans="10:58" x14ac:dyDescent="0.25">
      <c r="J181" s="19" t="s">
        <v>374</v>
      </c>
      <c r="K181" s="529">
        <v>381.036</v>
      </c>
      <c r="L181" s="529">
        <v>386.89600000000002</v>
      </c>
      <c r="M181" s="529">
        <v>412.786</v>
      </c>
      <c r="N181" s="529">
        <v>418.65300000000002</v>
      </c>
      <c r="O181" s="529">
        <v>388.79399999999998</v>
      </c>
      <c r="P181" s="529">
        <v>378.63900000000001</v>
      </c>
      <c r="Q181" s="529">
        <v>422.02100000000002</v>
      </c>
      <c r="R181" s="529">
        <v>455.839</v>
      </c>
      <c r="S181" s="529">
        <v>442.11399999999998</v>
      </c>
      <c r="T181" s="529">
        <v>444.90100000000001</v>
      </c>
      <c r="U181" s="529">
        <v>461.14699999999999</v>
      </c>
      <c r="V181" s="529">
        <v>491.89299999999997</v>
      </c>
      <c r="W181" s="529">
        <v>497.714</v>
      </c>
      <c r="X181" s="529">
        <v>515.46</v>
      </c>
      <c r="Y181" s="529">
        <v>506.084</v>
      </c>
      <c r="Z181" s="529">
        <v>541.42999999999995</v>
      </c>
      <c r="AA181" s="529">
        <v>539.25599999999997</v>
      </c>
      <c r="AB181" s="529">
        <v>553.56083999999998</v>
      </c>
      <c r="AC181" s="529">
        <v>525.01400000000001</v>
      </c>
      <c r="AD181" s="529">
        <v>587.21299999999997</v>
      </c>
      <c r="AE181" s="529">
        <v>610.32000000000005</v>
      </c>
      <c r="AF181" s="529">
        <v>614.66499999999996</v>
      </c>
      <c r="AG181" s="5"/>
      <c r="AH181" s="5"/>
      <c r="AI181" s="5"/>
      <c r="AK181" s="380" t="s">
        <v>375</v>
      </c>
      <c r="AL181" s="530">
        <f>AL180/AL182*100</f>
        <v>48.43064866174597</v>
      </c>
      <c r="AM181" s="530">
        <f t="shared" ref="AM181:AY181" si="143">AM180/AM182*100</f>
        <v>51.040336108588924</v>
      </c>
      <c r="AN181" s="530">
        <f t="shared" si="143"/>
        <v>48.60430561499512</v>
      </c>
      <c r="AO181" s="530">
        <f t="shared" si="143"/>
        <v>51.796269632267965</v>
      </c>
      <c r="AP181" s="530">
        <f t="shared" si="143"/>
        <v>55.316359007001914</v>
      </c>
      <c r="AQ181" s="530">
        <f t="shared" si="143"/>
        <v>57.418025840601814</v>
      </c>
      <c r="AR181" s="530">
        <f t="shared" si="143"/>
        <v>55.042204087157224</v>
      </c>
      <c r="AS181" s="530">
        <f t="shared" si="143"/>
        <v>53.181104690346679</v>
      </c>
      <c r="AT181" s="530">
        <f t="shared" si="143"/>
        <v>51.948968898204228</v>
      </c>
      <c r="AU181" s="530">
        <f t="shared" si="143"/>
        <v>52.270175972546603</v>
      </c>
      <c r="AV181" s="530">
        <f t="shared" si="143"/>
        <v>56.75732613331499</v>
      </c>
      <c r="AW181" s="531">
        <f t="shared" si="143"/>
        <v>56.185631446936526</v>
      </c>
      <c r="AX181" s="531">
        <f t="shared" si="143"/>
        <v>54.120714332377176</v>
      </c>
      <c r="AY181" s="522">
        <f t="shared" si="143"/>
        <v>56.427430929831743</v>
      </c>
      <c r="AZ181" s="521">
        <f>AZ180/AZ182*100</f>
        <v>58.069340850805581</v>
      </c>
      <c r="BA181" s="152">
        <f>BA180/BA182*100</f>
        <v>57.118100668660077</v>
      </c>
      <c r="BB181" s="522">
        <f>BB180/BB182*100</f>
        <v>53.409324485031782</v>
      </c>
      <c r="BC181" s="522">
        <f t="shared" ref="BC181:BF181" si="144">BC180/BC182*100</f>
        <v>55.109711862748071</v>
      </c>
      <c r="BD181" s="522">
        <f t="shared" si="144"/>
        <v>57.761882587162226</v>
      </c>
      <c r="BE181" s="522">
        <f t="shared" si="144"/>
        <v>60.490792995799367</v>
      </c>
      <c r="BF181" s="523">
        <f t="shared" si="144"/>
        <v>61.369221710164531</v>
      </c>
    </row>
    <row r="182" spans="10:58" ht="15.75" thickBot="1" x14ac:dyDescent="0.3">
      <c r="J182" s="20" t="s">
        <v>44</v>
      </c>
      <c r="K182" s="532">
        <v>383.82100000000003</v>
      </c>
      <c r="L182" s="532">
        <v>389.87400000000002</v>
      </c>
      <c r="M182" s="532">
        <v>415.92200000000003</v>
      </c>
      <c r="N182" s="532">
        <v>422.26400000000001</v>
      </c>
      <c r="O182" s="532">
        <v>392.75</v>
      </c>
      <c r="P182" s="532">
        <v>383.505</v>
      </c>
      <c r="Q182" s="532">
        <v>428.51300000000003</v>
      </c>
      <c r="R182" s="532">
        <v>459.96600000000001</v>
      </c>
      <c r="S182" s="532">
        <v>450.392</v>
      </c>
      <c r="T182" s="532">
        <v>453.423</v>
      </c>
      <c r="U182" s="532">
        <v>465.18399999999997</v>
      </c>
      <c r="V182" s="532">
        <v>495.97199999999998</v>
      </c>
      <c r="W182" s="532">
        <v>505.14299999999997</v>
      </c>
      <c r="X182" s="532">
        <v>520.44900000000007</v>
      </c>
      <c r="Y182" s="532">
        <v>510.81</v>
      </c>
      <c r="Z182" s="532">
        <v>546.46599999999989</v>
      </c>
      <c r="AA182" s="532">
        <v>544.88799999999992</v>
      </c>
      <c r="AB182" s="532">
        <v>559.14463999999998</v>
      </c>
      <c r="AC182" s="532">
        <v>530.41899999999998</v>
      </c>
      <c r="AD182" s="532">
        <v>593.24399999999991</v>
      </c>
      <c r="AE182" s="532">
        <v>616.4670000000001</v>
      </c>
      <c r="AF182" s="532">
        <v>620.72900000000004</v>
      </c>
      <c r="AG182" s="148"/>
      <c r="AH182" s="148"/>
      <c r="AI182" s="148"/>
      <c r="AK182" s="345" t="s">
        <v>44</v>
      </c>
      <c r="AL182" s="387">
        <v>383821</v>
      </c>
      <c r="AM182" s="388">
        <v>389874</v>
      </c>
      <c r="AN182" s="388">
        <v>415922</v>
      </c>
      <c r="AO182" s="388">
        <v>422264</v>
      </c>
      <c r="AP182" s="388">
        <v>392750</v>
      </c>
      <c r="AQ182" s="388">
        <v>383505</v>
      </c>
      <c r="AR182" s="388">
        <v>428513</v>
      </c>
      <c r="AS182" s="388">
        <v>459966</v>
      </c>
      <c r="AT182" s="388">
        <v>450392</v>
      </c>
      <c r="AU182" s="388">
        <v>453423</v>
      </c>
      <c r="AV182" s="388">
        <v>465184</v>
      </c>
      <c r="AW182" s="389">
        <v>495972</v>
      </c>
      <c r="AX182" s="304">
        <v>505143</v>
      </c>
      <c r="AY182" s="388">
        <v>520449</v>
      </c>
      <c r="AZ182" s="304">
        <v>510810</v>
      </c>
      <c r="BA182" s="304">
        <v>546466</v>
      </c>
      <c r="BB182" s="389">
        <v>544888</v>
      </c>
      <c r="BC182" s="304">
        <v>559144.64</v>
      </c>
      <c r="BD182" s="304">
        <v>530419</v>
      </c>
      <c r="BE182" s="453">
        <v>593244</v>
      </c>
      <c r="BF182" s="455">
        <v>616467</v>
      </c>
    </row>
    <row r="183" spans="10:58" ht="15.75" thickBot="1" x14ac:dyDescent="0.3">
      <c r="AK183" s="25" t="s">
        <v>325</v>
      </c>
      <c r="AL183" s="398">
        <v>0</v>
      </c>
      <c r="AM183" s="232">
        <f>AM180/AL180*100-100</f>
        <v>7.0505199395331601</v>
      </c>
      <c r="AN183" s="232">
        <f t="shared" ref="AN183:AW183" si="145">AN180/AM180*100-100</f>
        <v>1.5895031483519517</v>
      </c>
      <c r="AO183" s="232">
        <f t="shared" si="145"/>
        <v>8.1921882110845132</v>
      </c>
      <c r="AP183" s="232">
        <f t="shared" si="145"/>
        <v>-0.66844369664909209</v>
      </c>
      <c r="AQ183" s="232">
        <f t="shared" si="145"/>
        <v>1.3560102184069507</v>
      </c>
      <c r="AR183" s="232">
        <f t="shared" si="145"/>
        <v>7.1125925858647463</v>
      </c>
      <c r="AS183" s="232">
        <f t="shared" si="145"/>
        <v>3.7106286276355434</v>
      </c>
      <c r="AT183" s="232">
        <f t="shared" si="145"/>
        <v>-4.3501011794043762</v>
      </c>
      <c r="AU183" s="232">
        <f t="shared" si="145"/>
        <v>1.2954430834195279</v>
      </c>
      <c r="AV183" s="232">
        <f t="shared" si="145"/>
        <v>11.401025294825004</v>
      </c>
      <c r="AW183" s="232">
        <f t="shared" si="145"/>
        <v>5.5445297054077969</v>
      </c>
      <c r="AX183" s="232">
        <f>AX180/AW180*100-100</f>
        <v>-1.8940304666893866</v>
      </c>
      <c r="AY183" s="309">
        <f>AY180/AX180*100-100</f>
        <v>7.4213477597691195</v>
      </c>
      <c r="AZ183" s="232">
        <f>AZ180/AX180*100-100</f>
        <v>8.4996726252528418</v>
      </c>
      <c r="BA183" s="232">
        <f>BA180/AZ180*100-100</f>
        <v>5.2278305194454902</v>
      </c>
      <c r="BB183" s="310">
        <f>BB180/BA180*100-100</f>
        <v>-6.7631859699933727</v>
      </c>
      <c r="BC183" s="310">
        <f t="shared" ref="BC183:BF183" si="146">BC180/BB180*100-100</f>
        <v>5.8834242202452742</v>
      </c>
      <c r="BD183" s="310">
        <f t="shared" si="146"/>
        <v>-0.57213696238434864</v>
      </c>
      <c r="BE183" s="310">
        <f t="shared" si="146"/>
        <v>17.128402637247859</v>
      </c>
      <c r="BF183" s="457">
        <f t="shared" si="146"/>
        <v>5.4235937334544673</v>
      </c>
    </row>
    <row r="184" spans="10:58" ht="15.75" thickBot="1" x14ac:dyDescent="0.3">
      <c r="J184" s="33" t="s">
        <v>32</v>
      </c>
      <c r="K184" s="171" t="s">
        <v>0</v>
      </c>
      <c r="L184" s="94" t="s">
        <v>1</v>
      </c>
      <c r="M184" s="94" t="s">
        <v>2</v>
      </c>
      <c r="N184" s="94" t="s">
        <v>3</v>
      </c>
      <c r="O184" s="94" t="s">
        <v>4</v>
      </c>
      <c r="P184" s="94" t="s">
        <v>5</v>
      </c>
      <c r="Q184" s="94" t="s">
        <v>6</v>
      </c>
      <c r="R184" s="94" t="s">
        <v>7</v>
      </c>
      <c r="S184" s="94" t="s">
        <v>27</v>
      </c>
      <c r="T184" s="94" t="s">
        <v>9</v>
      </c>
      <c r="U184" s="94" t="s">
        <v>10</v>
      </c>
      <c r="V184" s="94" t="s">
        <v>11</v>
      </c>
      <c r="W184" s="73" t="s">
        <v>12</v>
      </c>
      <c r="X184" s="94" t="s">
        <v>13</v>
      </c>
      <c r="Y184" s="94" t="s">
        <v>14</v>
      </c>
      <c r="Z184" s="75" t="s">
        <v>15</v>
      </c>
      <c r="AA184" s="75" t="s">
        <v>16</v>
      </c>
      <c r="AB184" s="75" t="s">
        <v>17</v>
      </c>
      <c r="AC184" s="75" t="s">
        <v>18</v>
      </c>
      <c r="AD184" s="75" t="s">
        <v>19</v>
      </c>
      <c r="AE184" s="94" t="s">
        <v>20</v>
      </c>
      <c r="AF184" s="94" t="s">
        <v>202</v>
      </c>
      <c r="AG184" s="94" t="s">
        <v>21</v>
      </c>
      <c r="AH184" s="94" t="s">
        <v>22</v>
      </c>
      <c r="AI184" s="94" t="s">
        <v>203</v>
      </c>
      <c r="AK184" s="401" t="s">
        <v>326</v>
      </c>
      <c r="AL184" s="13">
        <f t="shared" ref="AL184:AX184" si="147">AL176/AL182*100</f>
        <v>0.41295291294639946</v>
      </c>
      <c r="AM184" s="14">
        <f t="shared" si="147"/>
        <v>0.4473240072433658</v>
      </c>
      <c r="AN184" s="14">
        <f t="shared" si="147"/>
        <v>0.42772442909968694</v>
      </c>
      <c r="AO184" s="14">
        <f t="shared" si="147"/>
        <v>0.49992421802474279</v>
      </c>
      <c r="AP184" s="14">
        <f t="shared" si="147"/>
        <v>0.65767027371101205</v>
      </c>
      <c r="AQ184" s="14">
        <f t="shared" si="147"/>
        <v>0.90090090090090091</v>
      </c>
      <c r="AR184" s="14">
        <f t="shared" si="147"/>
        <v>0.98270064152079406</v>
      </c>
      <c r="AS184" s="14">
        <f t="shared" si="147"/>
        <v>0.519386215502885</v>
      </c>
      <c r="AT184" s="14">
        <f t="shared" si="147"/>
        <v>1.2646761043713033</v>
      </c>
      <c r="AU184" s="14">
        <f t="shared" si="147"/>
        <v>1.310035000430062</v>
      </c>
      <c r="AV184" s="14">
        <f t="shared" si="147"/>
        <v>0.54709534291807116</v>
      </c>
      <c r="AW184" s="14">
        <f t="shared" si="147"/>
        <v>0.51252893308493219</v>
      </c>
      <c r="AX184" s="14">
        <f t="shared" si="147"/>
        <v>0.68970568730042781</v>
      </c>
      <c r="AY184" s="14">
        <f>AY176/AY182*100</f>
        <v>0.52397064842088281</v>
      </c>
      <c r="AZ184" s="14">
        <f>AZ176/AZ182*100</f>
        <v>0.56772576887688175</v>
      </c>
      <c r="BA184" s="14">
        <f>BA176/BA182*100</f>
        <v>0.56618344050682023</v>
      </c>
      <c r="BB184" s="29">
        <f>BB176/BB182*100</f>
        <v>0.49808400992497537</v>
      </c>
      <c r="BC184" s="29">
        <f t="shared" ref="BC184:BF184" si="148">BC176/BC182*100</f>
        <v>0.62255805581897383</v>
      </c>
      <c r="BD184" s="29">
        <f t="shared" si="148"/>
        <v>0.62573173283762451</v>
      </c>
      <c r="BE184" s="29">
        <f t="shared" si="148"/>
        <v>0.60565298595518879</v>
      </c>
      <c r="BF184" s="211">
        <f t="shared" si="148"/>
        <v>0.5846217234661385</v>
      </c>
    </row>
    <row r="185" spans="10:58" ht="15.75" thickBot="1" x14ac:dyDescent="0.3">
      <c r="J185" s="24" t="s">
        <v>53</v>
      </c>
      <c r="K185" s="4">
        <v>108687</v>
      </c>
      <c r="L185" s="5">
        <v>122266</v>
      </c>
      <c r="M185" s="5">
        <v>159079</v>
      </c>
      <c r="N185" s="5">
        <v>252637</v>
      </c>
      <c r="O185" s="5">
        <v>292254</v>
      </c>
      <c r="P185" s="5">
        <v>314296</v>
      </c>
      <c r="Q185" s="5">
        <v>329297</v>
      </c>
      <c r="R185" s="5">
        <v>305031</v>
      </c>
      <c r="S185" s="5">
        <v>296198</v>
      </c>
      <c r="T185" s="5">
        <v>317654</v>
      </c>
      <c r="U185" s="28">
        <v>330403</v>
      </c>
      <c r="V185" s="28">
        <v>336233</v>
      </c>
      <c r="W185" s="28">
        <v>309922</v>
      </c>
      <c r="X185" s="5">
        <v>334360</v>
      </c>
      <c r="Y185" s="5">
        <v>348750</v>
      </c>
      <c r="Z185" s="28">
        <v>357578</v>
      </c>
      <c r="AA185" s="28">
        <v>348857</v>
      </c>
      <c r="AB185" s="28">
        <v>340813.73</v>
      </c>
      <c r="AC185" s="28">
        <v>362948</v>
      </c>
      <c r="AD185" s="28">
        <v>373263</v>
      </c>
      <c r="AE185" s="5">
        <v>365757</v>
      </c>
      <c r="AF185" s="5">
        <v>362288</v>
      </c>
      <c r="AG185" s="5"/>
      <c r="AH185" s="5"/>
      <c r="AI185" s="5"/>
      <c r="AK185" s="401" t="s">
        <v>327</v>
      </c>
      <c r="AL185" s="402">
        <f t="shared" ref="AL185:AX185" si="149">AL177/AL182*100</f>
        <v>48.017695748799568</v>
      </c>
      <c r="AM185" s="403">
        <f t="shared" si="149"/>
        <v>50.593012101345558</v>
      </c>
      <c r="AN185" s="403">
        <f t="shared" si="149"/>
        <v>48.176581185895436</v>
      </c>
      <c r="AO185" s="403">
        <f t="shared" si="149"/>
        <v>51.296345414243227</v>
      </c>
      <c r="AP185" s="403">
        <f t="shared" si="149"/>
        <v>54.658688733290894</v>
      </c>
      <c r="AQ185" s="403">
        <f t="shared" si="149"/>
        <v>56.517124939700913</v>
      </c>
      <c r="AR185" s="403">
        <f t="shared" si="149"/>
        <v>54.059503445636423</v>
      </c>
      <c r="AS185" s="403">
        <f t="shared" si="149"/>
        <v>52.661718474843788</v>
      </c>
      <c r="AT185" s="403">
        <f t="shared" si="149"/>
        <v>50.684292793832931</v>
      </c>
      <c r="AU185" s="403">
        <f t="shared" si="149"/>
        <v>50.960140972116541</v>
      </c>
      <c r="AV185" s="403">
        <f t="shared" si="149"/>
        <v>56.21023079039692</v>
      </c>
      <c r="AW185" s="403">
        <f t="shared" si="149"/>
        <v>55.673102513851589</v>
      </c>
      <c r="AX185" s="403">
        <f t="shared" si="149"/>
        <v>53.431008645076737</v>
      </c>
      <c r="AY185" s="481">
        <f>AY177/AY182*100</f>
        <v>55.903460281410858</v>
      </c>
      <c r="AZ185" s="403">
        <f>AZ177/AZ182*100</f>
        <v>57.501615081928705</v>
      </c>
      <c r="BA185" s="403">
        <f>BA177/BA182*100</f>
        <v>56.551917228153258</v>
      </c>
      <c r="BB185" s="462">
        <f>BB177/BB182*100</f>
        <v>52.911240475106815</v>
      </c>
      <c r="BC185" s="462">
        <f t="shared" ref="BC185:BF185" si="150">BC177/BC182*100</f>
        <v>54.487153806929101</v>
      </c>
      <c r="BD185" s="462">
        <f t="shared" si="150"/>
        <v>57.136150854324598</v>
      </c>
      <c r="BE185" s="462">
        <f t="shared" si="150"/>
        <v>59.885140009844172</v>
      </c>
      <c r="BF185" s="463">
        <f t="shared" si="150"/>
        <v>60.784599986698396</v>
      </c>
    </row>
    <row r="186" spans="10:58" ht="15.75" thickBot="1" x14ac:dyDescent="0.3">
      <c r="J186" s="25" t="s">
        <v>54</v>
      </c>
      <c r="K186" s="4">
        <v>332549</v>
      </c>
      <c r="L186" s="5">
        <v>336064</v>
      </c>
      <c r="M186" s="5">
        <v>349695</v>
      </c>
      <c r="N186" s="5">
        <v>310613</v>
      </c>
      <c r="O186" s="5">
        <v>312786</v>
      </c>
      <c r="P186" s="5">
        <v>308184</v>
      </c>
      <c r="Q186" s="5">
        <v>315427</v>
      </c>
      <c r="R186" s="5">
        <v>305628</v>
      </c>
      <c r="S186" s="5">
        <v>284170</v>
      </c>
      <c r="T186" s="5">
        <v>301467</v>
      </c>
      <c r="U186" s="28">
        <v>314305</v>
      </c>
      <c r="V186" s="28">
        <v>331171</v>
      </c>
      <c r="W186" s="28">
        <v>314528</v>
      </c>
      <c r="X186" s="5">
        <v>350202</v>
      </c>
      <c r="Y186" s="5">
        <v>373863</v>
      </c>
      <c r="Z186" s="28">
        <v>388939</v>
      </c>
      <c r="AA186" s="28">
        <v>380000</v>
      </c>
      <c r="AB186" s="28">
        <v>392318.33999999997</v>
      </c>
      <c r="AC186" s="28">
        <v>412681</v>
      </c>
      <c r="AD186" s="28">
        <v>439251</v>
      </c>
      <c r="AE186" s="5">
        <v>449166</v>
      </c>
      <c r="AF186" s="5">
        <v>452181</v>
      </c>
      <c r="AG186" s="5"/>
      <c r="AH186" s="5"/>
      <c r="AI186" s="5"/>
      <c r="AK186" s="325" t="s">
        <v>26</v>
      </c>
      <c r="AL186" s="464">
        <v>825056</v>
      </c>
      <c r="AM186" s="465">
        <v>848204</v>
      </c>
      <c r="AN186" s="465">
        <v>924696</v>
      </c>
      <c r="AO186" s="465">
        <v>985514</v>
      </c>
      <c r="AP186" s="465">
        <v>997791</v>
      </c>
      <c r="AQ186" s="465">
        <v>1005984</v>
      </c>
      <c r="AR186" s="465">
        <v>1073238</v>
      </c>
      <c r="AS186" s="465">
        <v>1070624</v>
      </c>
      <c r="AT186" s="465">
        <v>1030760</v>
      </c>
      <c r="AU186" s="465">
        <v>1072544</v>
      </c>
      <c r="AV186" s="465">
        <v>1109892</v>
      </c>
      <c r="AW186" s="465">
        <v>1163376</v>
      </c>
      <c r="AX186" s="465">
        <v>1129593</v>
      </c>
      <c r="AY186" s="465">
        <v>1205011</v>
      </c>
      <c r="AZ186" s="465">
        <v>1233423</v>
      </c>
      <c r="BA186" s="465">
        <v>1292983</v>
      </c>
      <c r="BB186" s="466">
        <v>1269580</v>
      </c>
      <c r="BC186" s="465">
        <v>1292276.71</v>
      </c>
      <c r="BD186" s="465">
        <v>1306049</v>
      </c>
      <c r="BE186" s="465">
        <v>1405757</v>
      </c>
      <c r="BF186" s="467">
        <v>1431391</v>
      </c>
    </row>
    <row r="187" spans="10:58" ht="15.75" thickBot="1" x14ac:dyDescent="0.3">
      <c r="J187" s="62" t="s">
        <v>36</v>
      </c>
      <c r="K187" s="30">
        <f t="shared" ref="K187:S187" si="151">K185+K186</f>
        <v>441236</v>
      </c>
      <c r="L187" s="148">
        <f t="shared" si="151"/>
        <v>458330</v>
      </c>
      <c r="M187" s="148">
        <f t="shared" si="151"/>
        <v>508774</v>
      </c>
      <c r="N187" s="148">
        <f t="shared" si="151"/>
        <v>563250</v>
      </c>
      <c r="O187" s="148">
        <f t="shared" si="151"/>
        <v>605040</v>
      </c>
      <c r="P187" s="148">
        <f t="shared" si="151"/>
        <v>622480</v>
      </c>
      <c r="Q187" s="148">
        <f t="shared" si="151"/>
        <v>644724</v>
      </c>
      <c r="R187" s="148">
        <f t="shared" si="151"/>
        <v>610659</v>
      </c>
      <c r="S187" s="148">
        <f t="shared" si="151"/>
        <v>580368</v>
      </c>
      <c r="T187" s="148">
        <v>619121</v>
      </c>
      <c r="U187" s="148">
        <v>644708</v>
      </c>
      <c r="V187" s="208">
        <v>667404</v>
      </c>
      <c r="W187" s="208">
        <v>624450</v>
      </c>
      <c r="X187" s="148">
        <v>684562</v>
      </c>
      <c r="Y187" s="148">
        <v>722613</v>
      </c>
      <c r="Z187" s="208">
        <v>746517</v>
      </c>
      <c r="AA187" s="208">
        <v>728857</v>
      </c>
      <c r="AB187" s="208">
        <f>AB185+AB186</f>
        <v>733132.07</v>
      </c>
      <c r="AC187" s="208">
        <v>775629</v>
      </c>
      <c r="AD187" s="208">
        <f>AD185+AD186</f>
        <v>812514</v>
      </c>
      <c r="AE187" s="208">
        <f>AE185+AE186</f>
        <v>814923</v>
      </c>
      <c r="AF187" s="148">
        <v>814469</v>
      </c>
      <c r="AG187" s="148"/>
      <c r="AH187" s="148"/>
      <c r="AI187" s="148"/>
      <c r="AK187" s="22" t="s">
        <v>329</v>
      </c>
      <c r="AL187" s="484">
        <f t="shared" ref="AL187:AY187" si="152">AL180/AL186*100</f>
        <v>22.530228251173252</v>
      </c>
      <c r="AM187" s="484">
        <f t="shared" si="152"/>
        <v>23.460511857996423</v>
      </c>
      <c r="AN187" s="484">
        <f t="shared" si="152"/>
        <v>21.861887582513603</v>
      </c>
      <c r="AO187" s="484">
        <f t="shared" si="152"/>
        <v>22.193190558429411</v>
      </c>
      <c r="AP187" s="484">
        <f t="shared" si="152"/>
        <v>21.773597877711865</v>
      </c>
      <c r="AQ187" s="484">
        <f t="shared" si="152"/>
        <v>21.889115532652607</v>
      </c>
      <c r="AR187" s="484">
        <f t="shared" si="152"/>
        <v>21.976765638190223</v>
      </c>
      <c r="AS187" s="484">
        <f t="shared" si="152"/>
        <v>22.847890575963177</v>
      </c>
      <c r="AT187" s="484">
        <f t="shared" si="152"/>
        <v>22.69917342543366</v>
      </c>
      <c r="AU187" s="484">
        <f t="shared" si="152"/>
        <v>22.097461735835548</v>
      </c>
      <c r="AV187" s="484">
        <f t="shared" si="152"/>
        <v>23.788440677110927</v>
      </c>
      <c r="AW187" s="485">
        <f t="shared" si="152"/>
        <v>23.953132950997784</v>
      </c>
      <c r="AX187" s="485">
        <f t="shared" si="152"/>
        <v>24.202256919085016</v>
      </c>
      <c r="AY187" s="10">
        <f t="shared" si="152"/>
        <v>24.37122980620094</v>
      </c>
      <c r="AZ187" s="485">
        <f>AZ180/AZ186*100</f>
        <v>24.048846178480538</v>
      </c>
      <c r="BA187" s="485">
        <f>BA180/BA186*100</f>
        <v>24.140379262527041</v>
      </c>
      <c r="BB187" s="193">
        <f>BB180/BB186*100</f>
        <v>22.92262007908127</v>
      </c>
      <c r="BC187" s="193">
        <f t="shared" ref="BC187:BF187" si="153">BC180/BC186*100</f>
        <v>23.844970478497597</v>
      </c>
      <c r="BD187" s="193">
        <f t="shared" si="153"/>
        <v>23.458537926218696</v>
      </c>
      <c r="BE187" s="193">
        <f t="shared" si="153"/>
        <v>25.527740569671714</v>
      </c>
      <c r="BF187" s="192">
        <f t="shared" si="153"/>
        <v>26.430304507992574</v>
      </c>
    </row>
    <row r="189" spans="10:58" x14ac:dyDescent="0.25">
      <c r="AB189" s="1">
        <f>AB182-AA182</f>
        <v>14.256640000000061</v>
      </c>
      <c r="AD189" s="1">
        <f>AD181+AD186</f>
        <v>439838.21299999999</v>
      </c>
      <c r="AE189" s="1"/>
      <c r="AF189" s="1"/>
      <c r="AG189" s="1"/>
      <c r="AH189" s="1"/>
      <c r="AI189" s="1"/>
    </row>
    <row r="190" spans="10:58" ht="15.75" thickBot="1" x14ac:dyDescent="0.3">
      <c r="AB190">
        <f>AB182/AA182*100-100</f>
        <v>2.6164349370880018</v>
      </c>
    </row>
    <row r="191" spans="10:58" ht="15.75" thickBot="1" x14ac:dyDescent="0.3">
      <c r="AK191" s="1109" t="s">
        <v>376</v>
      </c>
      <c r="AL191" s="1110"/>
      <c r="AM191" s="1110"/>
      <c r="AN191" s="1110"/>
      <c r="AO191" s="1110"/>
      <c r="AP191" s="1110"/>
      <c r="AQ191" s="1110"/>
      <c r="AR191" s="1110"/>
      <c r="AS191" s="1110"/>
      <c r="AT191" s="1110"/>
      <c r="AU191" s="1110"/>
      <c r="AV191" s="1110"/>
      <c r="AW191" s="1110"/>
      <c r="AX191" s="1110"/>
      <c r="AY191" s="1110"/>
      <c r="AZ191" s="1110"/>
      <c r="BA191" s="1111"/>
    </row>
    <row r="192" spans="10:58" ht="15.75" thickBot="1" x14ac:dyDescent="0.3">
      <c r="AB192" s="27">
        <v>14.256640000000001</v>
      </c>
      <c r="AK192" s="416" t="s">
        <v>377</v>
      </c>
      <c r="AL192" s="217" t="s">
        <v>235</v>
      </c>
      <c r="AM192" s="217" t="s">
        <v>236</v>
      </c>
      <c r="AN192" s="217" t="s">
        <v>237</v>
      </c>
      <c r="AO192" s="217" t="s">
        <v>238</v>
      </c>
      <c r="AP192" s="217" t="s">
        <v>239</v>
      </c>
      <c r="AQ192" s="217" t="s">
        <v>240</v>
      </c>
      <c r="AR192" s="217" t="s">
        <v>241</v>
      </c>
      <c r="AS192" s="218" t="s">
        <v>242</v>
      </c>
      <c r="AT192" s="218" t="s">
        <v>243</v>
      </c>
      <c r="AU192" s="218" t="s">
        <v>244</v>
      </c>
      <c r="AV192" s="218" t="s">
        <v>245</v>
      </c>
      <c r="AW192" s="218" t="s">
        <v>246</v>
      </c>
      <c r="AX192" s="218" t="s">
        <v>247</v>
      </c>
      <c r="AY192" s="218" t="s">
        <v>248</v>
      </c>
      <c r="AZ192" s="218" t="s">
        <v>249</v>
      </c>
      <c r="BA192" s="218" t="s">
        <v>250</v>
      </c>
    </row>
    <row r="193" spans="28:56" x14ac:dyDescent="0.25">
      <c r="AB193" s="1"/>
      <c r="AK193" s="24" t="s">
        <v>332</v>
      </c>
      <c r="AL193" s="245">
        <f t="shared" ref="AL193:AO194" si="154">AP159/AL159*100-100</f>
        <v>214.35020663876389</v>
      </c>
      <c r="AM193" s="245">
        <f t="shared" si="154"/>
        <v>193.86611481851787</v>
      </c>
      <c r="AN193" s="245">
        <f t="shared" si="154"/>
        <v>130.306655641373</v>
      </c>
      <c r="AO193" s="245">
        <f t="shared" si="154"/>
        <v>19.200427071593822</v>
      </c>
      <c r="AP193" s="245">
        <f>AU159/AP159*100-100</f>
        <v>8.3261806169060861</v>
      </c>
      <c r="AQ193" s="245">
        <f>AV159/AQ159*100-100</f>
        <v>3.0395701953585501</v>
      </c>
      <c r="AR193" s="245">
        <f t="shared" ref="AR193" si="155">AW159/AR159*100-100</f>
        <v>0.36438917068997512</v>
      </c>
      <c r="AS193" s="245">
        <f>AX159/AS159*100-100</f>
        <v>-4.8351247346072199</v>
      </c>
      <c r="AT193" s="246">
        <f>AY159/AU159*100-100</f>
        <v>5.3145642250592289</v>
      </c>
      <c r="AU193" s="246">
        <f t="shared" ref="AU193:BA194" si="156">AZ159/AV159*100-100</f>
        <v>4.6166427976302487</v>
      </c>
      <c r="AV193" s="246">
        <f t="shared" si="156"/>
        <v>7.7842305965093885</v>
      </c>
      <c r="AW193" s="246">
        <f t="shared" si="156"/>
        <v>-3.1330068150523687</v>
      </c>
      <c r="AX193" s="246">
        <f t="shared" si="156"/>
        <v>-1.6805334840516224</v>
      </c>
      <c r="AY193" s="246">
        <f t="shared" si="156"/>
        <v>-0.55711942100685974</v>
      </c>
      <c r="AZ193" s="246">
        <f t="shared" si="156"/>
        <v>-2.834232529235635</v>
      </c>
      <c r="BA193" s="246">
        <f t="shared" si="156"/>
        <v>23.581434265098821</v>
      </c>
    </row>
    <row r="194" spans="28:56" ht="15.75" thickBot="1" x14ac:dyDescent="0.3">
      <c r="AK194" s="493" t="s">
        <v>333</v>
      </c>
      <c r="AL194" s="494">
        <f t="shared" si="154"/>
        <v>-8.9120011866381077</v>
      </c>
      <c r="AM194" s="494">
        <f t="shared" si="154"/>
        <v>-10.826763097732069</v>
      </c>
      <c r="AN194" s="494">
        <f t="shared" si="154"/>
        <v>-10.794653139921579</v>
      </c>
      <c r="AO194" s="494">
        <f t="shared" si="154"/>
        <v>-8.293938901904383</v>
      </c>
      <c r="AP194" s="494">
        <f>AU160/AP160*100-100</f>
        <v>-6.3350431771484352</v>
      </c>
      <c r="AQ194" s="494">
        <f t="shared" ref="AQ194:AS194" si="157">AV160/AQ160*100-100</f>
        <v>-0.92265850425017959</v>
      </c>
      <c r="AR194" s="494">
        <f t="shared" si="157"/>
        <v>1.3195623056800656</v>
      </c>
      <c r="AS194" s="494">
        <f t="shared" si="157"/>
        <v>-6.1909073893270374</v>
      </c>
      <c r="AT194" s="533">
        <f>AY160/AU160*100-100</f>
        <v>26.773843856742559</v>
      </c>
      <c r="AU194" s="533">
        <f t="shared" si="156"/>
        <v>21.964825974664876</v>
      </c>
      <c r="AV194" s="533">
        <f t="shared" si="156"/>
        <v>26.988641786771026</v>
      </c>
      <c r="AW194" s="533">
        <f t="shared" si="156"/>
        <v>31.906988281860862</v>
      </c>
      <c r="AX194" s="533">
        <f t="shared" si="156"/>
        <v>10.33663542053209</v>
      </c>
      <c r="AY194" s="533">
        <f t="shared" si="156"/>
        <v>16.221503363934104</v>
      </c>
      <c r="AZ194" s="533">
        <f t="shared" si="156"/>
        <v>15.581453031282422</v>
      </c>
      <c r="BA194" s="533">
        <f t="shared" si="156"/>
        <v>35.261460219862869</v>
      </c>
    </row>
    <row r="195" spans="28:56" ht="15.75" thickBot="1" x14ac:dyDescent="0.3">
      <c r="AK195" s="431" t="s">
        <v>378</v>
      </c>
      <c r="AL195" s="496">
        <f t="shared" ref="AL195:AO195" si="158">AP163/AL163*100-100</f>
        <v>46.668545234717243</v>
      </c>
      <c r="AM195" s="496">
        <f t="shared" si="158"/>
        <v>44.873644382015357</v>
      </c>
      <c r="AN195" s="496">
        <f t="shared" si="158"/>
        <v>35.629133322721145</v>
      </c>
      <c r="AO195" s="496">
        <f t="shared" si="158"/>
        <v>5.0174339436609614</v>
      </c>
      <c r="AP195" s="496">
        <f>AU163/AP163*100-100</f>
        <v>1.4876191837865207</v>
      </c>
      <c r="AQ195" s="496">
        <f t="shared" ref="AQ195:AS195" si="159">AV163/AQ163*100-100</f>
        <v>1.2643743421541132</v>
      </c>
      <c r="AR195" s="496">
        <f t="shared" si="159"/>
        <v>0.78592630687188603</v>
      </c>
      <c r="AS195" s="496">
        <f t="shared" si="159"/>
        <v>-5.4458570422647625</v>
      </c>
      <c r="AT195" s="433">
        <f>AY163/AU163*100-100</f>
        <v>14.552474537021752</v>
      </c>
      <c r="AU195" s="433">
        <f t="shared" ref="AU195:BA195" si="160">AZ163/AV163*100-100</f>
        <v>12.221278174086308</v>
      </c>
      <c r="AV195" s="433">
        <f t="shared" si="160"/>
        <v>16.304398456919515</v>
      </c>
      <c r="AW195" s="433">
        <f t="shared" si="160"/>
        <v>12.526902063234616</v>
      </c>
      <c r="AX195" s="433">
        <f t="shared" si="160"/>
        <v>4.0446044077886683</v>
      </c>
      <c r="AY195" s="433">
        <f t="shared" si="160"/>
        <v>7.4364379502572149</v>
      </c>
      <c r="AZ195" s="433">
        <f t="shared" si="160"/>
        <v>6.0865670989681604</v>
      </c>
      <c r="BA195" s="433">
        <f t="shared" si="160"/>
        <v>29.700434131704469</v>
      </c>
      <c r="BB195" s="1"/>
      <c r="BC195" s="1"/>
      <c r="BD195" s="1"/>
    </row>
    <row r="196" spans="28:56" ht="15.75" thickBot="1" x14ac:dyDescent="0.3">
      <c r="AK196" s="157" t="s">
        <v>379</v>
      </c>
      <c r="AL196" s="217" t="s">
        <v>235</v>
      </c>
      <c r="AM196" s="217" t="s">
        <v>236</v>
      </c>
      <c r="AN196" s="217" t="s">
        <v>237</v>
      </c>
      <c r="AO196" s="217" t="s">
        <v>238</v>
      </c>
      <c r="AP196" s="217" t="s">
        <v>239</v>
      </c>
      <c r="AQ196" s="217" t="s">
        <v>240</v>
      </c>
      <c r="AR196" s="217" t="s">
        <v>241</v>
      </c>
      <c r="AS196" s="3" t="s">
        <v>242</v>
      </c>
      <c r="AT196" s="3" t="s">
        <v>243</v>
      </c>
      <c r="AU196" s="3" t="s">
        <v>244</v>
      </c>
      <c r="AV196" s="3" t="s">
        <v>245</v>
      </c>
      <c r="AW196" s="3" t="s">
        <v>246</v>
      </c>
      <c r="AX196" s="3" t="s">
        <v>247</v>
      </c>
      <c r="AY196" s="3" t="s">
        <v>248</v>
      </c>
      <c r="AZ196" s="3" t="s">
        <v>249</v>
      </c>
      <c r="BA196" s="3" t="s">
        <v>249</v>
      </c>
    </row>
    <row r="197" spans="28:56" x14ac:dyDescent="0.25">
      <c r="AK197" s="24" t="s">
        <v>332</v>
      </c>
      <c r="AL197" s="231">
        <f t="shared" ref="AL197:AO198" si="161">AP176/AL176*100-100</f>
        <v>62.965299684542572</v>
      </c>
      <c r="AM197" s="231">
        <f t="shared" si="161"/>
        <v>98.107798165137609</v>
      </c>
      <c r="AN197" s="231">
        <f t="shared" si="161"/>
        <v>136.70601461495221</v>
      </c>
      <c r="AO197" s="231">
        <f t="shared" si="161"/>
        <v>13.169114163903359</v>
      </c>
      <c r="AP197" s="231">
        <f>AU176/AP176*100-100</f>
        <v>129.9651567944251</v>
      </c>
      <c r="AQ197" s="231">
        <f t="shared" ref="AQ197:AS198" si="162">AV176/AQ176*100-100</f>
        <v>-26.338639652677273</v>
      </c>
      <c r="AR197" s="231">
        <f t="shared" si="162"/>
        <v>-39.634291142246504</v>
      </c>
      <c r="AS197" s="231">
        <f>AX176/AS176*100-100</f>
        <v>45.835077438258679</v>
      </c>
      <c r="AT197" s="534">
        <f>AY176/AU176*100-100</f>
        <v>-54.090909090909086</v>
      </c>
      <c r="AU197" s="534">
        <f t="shared" ref="AU197:BA198" si="163">AZ176/AV176*100-100</f>
        <v>13.94891944990178</v>
      </c>
      <c r="AV197" s="534">
        <f t="shared" si="163"/>
        <v>21.715184893784411</v>
      </c>
      <c r="AW197" s="534">
        <f t="shared" si="163"/>
        <v>-22.101033295063147</v>
      </c>
      <c r="AX197" s="534">
        <f t="shared" si="163"/>
        <v>27.649431609827644</v>
      </c>
      <c r="AY197" s="534">
        <f t="shared" si="163"/>
        <v>14.448275862068954</v>
      </c>
      <c r="AZ197" s="534">
        <f t="shared" si="163"/>
        <v>16.127989657401429</v>
      </c>
      <c r="BA197" s="534">
        <f t="shared" si="163"/>
        <v>32.792925571112761</v>
      </c>
    </row>
    <row r="198" spans="28:56" ht="15.75" thickBot="1" x14ac:dyDescent="0.3">
      <c r="AK198" s="493" t="s">
        <v>333</v>
      </c>
      <c r="AL198" s="402">
        <f t="shared" si="161"/>
        <v>16.478388731538459</v>
      </c>
      <c r="AM198" s="402">
        <f t="shared" si="161"/>
        <v>9.884460757722465</v>
      </c>
      <c r="AN198" s="402">
        <f t="shared" si="161"/>
        <v>15.608078771515693</v>
      </c>
      <c r="AO198" s="402">
        <f t="shared" si="161"/>
        <v>11.82792720423258</v>
      </c>
      <c r="AP198" s="402">
        <f>AU177/AP177*100-100</f>
        <v>7.6363009614667874</v>
      </c>
      <c r="AQ198" s="402">
        <f t="shared" si="162"/>
        <v>20.639365893718903</v>
      </c>
      <c r="AR198" s="402">
        <f t="shared" si="162"/>
        <v>19.197330478476331</v>
      </c>
      <c r="AS198" s="402">
        <f t="shared" si="162"/>
        <v>11.426106198343703</v>
      </c>
      <c r="AT198" s="535">
        <f>AY177/AU177*100-100</f>
        <v>25.916516997381692</v>
      </c>
      <c r="AU198" s="535">
        <f t="shared" si="163"/>
        <v>12.330915056925733</v>
      </c>
      <c r="AV198" s="535">
        <f t="shared" si="163"/>
        <v>11.920050122590297</v>
      </c>
      <c r="AW198" s="535">
        <f t="shared" si="163"/>
        <v>6.8187459939311452</v>
      </c>
      <c r="AX198" s="535">
        <f t="shared" si="163"/>
        <v>4.7131971582648617</v>
      </c>
      <c r="AY198" s="535">
        <f t="shared" si="163"/>
        <v>3.1788345521646164</v>
      </c>
      <c r="AZ198" s="535">
        <f t="shared" si="163"/>
        <v>14.958726624967241</v>
      </c>
      <c r="BA198" s="535">
        <f t="shared" si="163"/>
        <v>29.971523410808629</v>
      </c>
      <c r="BB198" s="1"/>
      <c r="BD198" s="1"/>
    </row>
    <row r="199" spans="28:56" ht="15.75" thickBot="1" x14ac:dyDescent="0.3">
      <c r="AK199" s="431" t="s">
        <v>380</v>
      </c>
      <c r="AL199" s="503">
        <f t="shared" ref="AL199:AO199" si="164">AP180/AL180*100-100</f>
        <v>16.874768004217614</v>
      </c>
      <c r="AM199" s="503">
        <f t="shared" si="164"/>
        <v>10.657661324770217</v>
      </c>
      <c r="AN199" s="503">
        <f t="shared" si="164"/>
        <v>16.673756900611409</v>
      </c>
      <c r="AO199" s="503">
        <f t="shared" si="164"/>
        <v>11.840871994403727</v>
      </c>
      <c r="AP199" s="503">
        <f>AU180/AP180*100-100</f>
        <v>9.0906998688177367</v>
      </c>
      <c r="AQ199" s="503">
        <f t="shared" ref="AQ199:AS199" si="165">AV180/AQ180*100-100</f>
        <v>19.902271106852368</v>
      </c>
      <c r="AR199" s="503">
        <f t="shared" si="165"/>
        <v>18.146975150829078</v>
      </c>
      <c r="AS199" s="503">
        <f t="shared" si="165"/>
        <v>11.7621568587372</v>
      </c>
      <c r="AT199" s="536">
        <f>AY180/AU180*100-100</f>
        <v>23.911309887977055</v>
      </c>
      <c r="AU199" s="536">
        <f t="shared" ref="AU199:AV199" si="166">AZ180/AV180*100-100</f>
        <v>12.34651132842977</v>
      </c>
      <c r="AV199" s="536">
        <f t="shared" si="166"/>
        <v>12.009401970107476</v>
      </c>
      <c r="AW199" s="536">
        <f>BB180/AX180*100-100</f>
        <v>6.4501969735210452</v>
      </c>
      <c r="AX199" s="536">
        <f>BC180/AY180*100-100</f>
        <v>4.9261771476048324</v>
      </c>
      <c r="AY199" s="536">
        <f>BD180/AZ180*100-100</f>
        <v>3.2890123523383181</v>
      </c>
      <c r="AZ199" s="536">
        <f>BE180/BA180*100-100</f>
        <v>14.970316950254855</v>
      </c>
      <c r="BA199" s="536">
        <f>BF180/BB180*100-100</f>
        <v>29.997835207768503</v>
      </c>
    </row>
    <row r="200" spans="28:56" x14ac:dyDescent="0.25">
      <c r="BB200" s="1"/>
      <c r="BD200" s="1"/>
    </row>
    <row r="202" spans="28:56" ht="15.75" thickBot="1" x14ac:dyDescent="0.3"/>
    <row r="203" spans="28:56" ht="15.75" thickBot="1" x14ac:dyDescent="0.3">
      <c r="AK203" s="1109" t="s">
        <v>381</v>
      </c>
      <c r="AL203" s="1110"/>
      <c r="AM203" s="1110"/>
      <c r="AN203" s="1110"/>
      <c r="AO203" s="1110"/>
      <c r="AP203" s="1110"/>
      <c r="AQ203" s="1110"/>
      <c r="AR203" s="1110"/>
      <c r="AS203" s="1110"/>
      <c r="AT203" s="1110"/>
      <c r="AU203" s="1110"/>
      <c r="AV203" s="1110"/>
      <c r="AW203" s="1110"/>
      <c r="AX203" s="1110"/>
      <c r="AY203" s="1110"/>
      <c r="AZ203" s="1110"/>
      <c r="BA203" s="1111"/>
    </row>
    <row r="204" spans="28:56" ht="15.75" thickBot="1" x14ac:dyDescent="0.3">
      <c r="AK204" s="416" t="s">
        <v>382</v>
      </c>
      <c r="AL204" s="217" t="s">
        <v>269</v>
      </c>
      <c r="AM204" s="217" t="s">
        <v>270</v>
      </c>
      <c r="AN204" s="217" t="s">
        <v>271</v>
      </c>
      <c r="AO204" s="217" t="s">
        <v>272</v>
      </c>
      <c r="AP204" s="217" t="s">
        <v>273</v>
      </c>
      <c r="AQ204" s="217" t="s">
        <v>274</v>
      </c>
      <c r="AR204" s="217" t="s">
        <v>275</v>
      </c>
      <c r="AS204" s="217" t="s">
        <v>276</v>
      </c>
      <c r="AT204" s="218" t="s">
        <v>277</v>
      </c>
      <c r="AU204" s="218" t="s">
        <v>278</v>
      </c>
      <c r="AV204" s="489" t="s">
        <v>279</v>
      </c>
      <c r="AW204" s="537" t="s">
        <v>280</v>
      </c>
      <c r="AX204" s="537" t="s">
        <v>340</v>
      </c>
      <c r="AY204" s="537" t="s">
        <v>281</v>
      </c>
      <c r="AZ204" s="537" t="s">
        <v>282</v>
      </c>
      <c r="BA204" s="537" t="s">
        <v>283</v>
      </c>
    </row>
    <row r="205" spans="28:56" x14ac:dyDescent="0.25">
      <c r="AK205" s="24" t="s">
        <v>342</v>
      </c>
      <c r="AL205" s="245">
        <f t="shared" ref="AL205:AO206" si="167">AP159/AO159*100-100</f>
        <v>18.056132234019401</v>
      </c>
      <c r="AM205" s="245">
        <f t="shared" si="167"/>
        <v>5.8320109530767894</v>
      </c>
      <c r="AN205" s="245">
        <f t="shared" si="167"/>
        <v>3.5772216199963651</v>
      </c>
      <c r="AO205" s="245">
        <f t="shared" si="167"/>
        <v>-7.8897512681048738</v>
      </c>
      <c r="AP205" s="245">
        <f>AU159/AP159*100-100</f>
        <v>8.3261806169060861</v>
      </c>
      <c r="AQ205" s="245">
        <f>AV159/AU159*100-100</f>
        <v>0.66712275290561251</v>
      </c>
      <c r="AR205" s="245">
        <f t="shared" ref="AR205:BA206" si="168">AW159/AV159*100-100</f>
        <v>0.88808173577167793</v>
      </c>
      <c r="AS205" s="245">
        <f t="shared" si="168"/>
        <v>-12.661648183527291</v>
      </c>
      <c r="AT205" s="245">
        <f t="shared" si="168"/>
        <v>18.728757429452884</v>
      </c>
      <c r="AU205" s="245">
        <f t="shared" si="168"/>
        <v>0</v>
      </c>
      <c r="AV205" s="245">
        <f t="shared" si="168"/>
        <v>3.9427759814733889</v>
      </c>
      <c r="AW205" s="246">
        <f t="shared" si="168"/>
        <v>-21.507965651658097</v>
      </c>
      <c r="AX205" s="246">
        <f t="shared" si="168"/>
        <v>20.509037255625231</v>
      </c>
      <c r="AY205" s="246">
        <f t="shared" si="168"/>
        <v>1.1426161093566805</v>
      </c>
      <c r="AZ205" s="246">
        <f t="shared" si="168"/>
        <v>1.5626210994445557</v>
      </c>
      <c r="BA205" s="246">
        <f t="shared" si="168"/>
        <v>-0.16897477733485289</v>
      </c>
    </row>
    <row r="206" spans="28:56" ht="15.75" thickBot="1" x14ac:dyDescent="0.3">
      <c r="AK206" s="493" t="s">
        <v>343</v>
      </c>
      <c r="AL206" s="365">
        <f t="shared" si="167"/>
        <v>-3.1379462318201945</v>
      </c>
      <c r="AM206" s="365">
        <f t="shared" si="167"/>
        <v>-1.7352280510175291</v>
      </c>
      <c r="AN206" s="365">
        <f t="shared" si="167"/>
        <v>0.80080714341417547</v>
      </c>
      <c r="AO206" s="365">
        <f t="shared" si="167"/>
        <v>-4.4165929278423306</v>
      </c>
      <c r="AP206" s="365">
        <f>AU160/AP160*100-100</f>
        <v>-6.3350431771484352</v>
      </c>
      <c r="AQ206" s="365">
        <f>AV160/AU160*100-100</f>
        <v>3.9429547360454933</v>
      </c>
      <c r="AR206" s="365">
        <f>AW160/AV160*100-100</f>
        <v>3.0820317304144567</v>
      </c>
      <c r="AS206" s="365">
        <f t="shared" si="168"/>
        <v>-11.501861219814842</v>
      </c>
      <c r="AT206" s="365">
        <f t="shared" si="168"/>
        <v>33.69571665075847</v>
      </c>
      <c r="AU206" s="365">
        <f t="shared" si="168"/>
        <v>0</v>
      </c>
      <c r="AV206" s="365">
        <f t="shared" si="168"/>
        <v>7.3280521450121796</v>
      </c>
      <c r="AW206" s="538">
        <f t="shared" si="168"/>
        <v>-8.0742750627602504</v>
      </c>
      <c r="AX206" s="538">
        <f t="shared" si="168"/>
        <v>11.832858421876736</v>
      </c>
      <c r="AY206" s="538">
        <f t="shared" si="168"/>
        <v>5.3335575450281567</v>
      </c>
      <c r="AZ206" s="538">
        <f t="shared" si="168"/>
        <v>6.7369794649147394</v>
      </c>
      <c r="BA206" s="538">
        <f t="shared" si="168"/>
        <v>7.5778808855709485</v>
      </c>
    </row>
    <row r="207" spans="28:56" ht="15.75" thickBot="1" x14ac:dyDescent="0.3">
      <c r="AK207" s="431" t="s">
        <v>383</v>
      </c>
      <c r="AL207" s="432">
        <f t="shared" ref="AL207:AO207" si="169">AP163/AO163*100-100</f>
        <v>7.1231480174124044</v>
      </c>
      <c r="AM207" s="432">
        <f t="shared" si="169"/>
        <v>2.3023582081549847</v>
      </c>
      <c r="AN207" s="432">
        <f t="shared" si="169"/>
        <v>2.3333056728698836</v>
      </c>
      <c r="AO207" s="432">
        <f t="shared" si="169"/>
        <v>-6.3569765630501536</v>
      </c>
      <c r="AP207" s="432">
        <f>AU163/AP163*100-100</f>
        <v>1.4876191837865207</v>
      </c>
      <c r="AQ207" s="432">
        <f>AV163/AU163*100-100</f>
        <v>2.0773211648143217</v>
      </c>
      <c r="AR207" s="432">
        <f t="shared" ref="AR207:BA207" si="170">AW163/AV163*100-100</f>
        <v>1.8498072129111307</v>
      </c>
      <c r="AS207" s="432">
        <f t="shared" si="170"/>
        <v>-12.147100795677346</v>
      </c>
      <c r="AT207" s="432">
        <f t="shared" si="170"/>
        <v>25.417720054659696</v>
      </c>
      <c r="AU207" s="432">
        <f t="shared" si="170"/>
        <v>0</v>
      </c>
      <c r="AV207" s="432">
        <f t="shared" si="170"/>
        <v>5.5555662311658267</v>
      </c>
      <c r="AW207" s="437">
        <f t="shared" si="170"/>
        <v>-15.000509732244936</v>
      </c>
      <c r="AX207" s="437">
        <f t="shared" si="170"/>
        <v>15.963710273308067</v>
      </c>
      <c r="AY207" s="437">
        <f t="shared" si="170"/>
        <v>3.2599802380666603</v>
      </c>
      <c r="AZ207" s="437">
        <f t="shared" si="170"/>
        <v>4.229327342710377</v>
      </c>
      <c r="BA207" s="437">
        <f t="shared" si="170"/>
        <v>3.9195733274759732</v>
      </c>
    </row>
    <row r="208" spans="28:56" ht="15.75" thickBot="1" x14ac:dyDescent="0.3">
      <c r="AK208" s="157" t="s">
        <v>384</v>
      </c>
      <c r="AL208" s="257" t="s">
        <v>269</v>
      </c>
      <c r="AM208" s="257" t="s">
        <v>270</v>
      </c>
      <c r="AN208" s="257" t="s">
        <v>271</v>
      </c>
      <c r="AO208" s="257" t="s">
        <v>272</v>
      </c>
      <c r="AP208" s="257" t="s">
        <v>273</v>
      </c>
      <c r="AQ208" s="257" t="s">
        <v>274</v>
      </c>
      <c r="AR208" s="257" t="s">
        <v>275</v>
      </c>
      <c r="AS208" s="257" t="s">
        <v>276</v>
      </c>
      <c r="AT208" s="3" t="s">
        <v>277</v>
      </c>
      <c r="AU208" s="3" t="s">
        <v>278</v>
      </c>
      <c r="AV208" s="175" t="s">
        <v>279</v>
      </c>
      <c r="AW208" s="369" t="s">
        <v>280</v>
      </c>
      <c r="AX208" s="369" t="s">
        <v>340</v>
      </c>
      <c r="AY208" s="369" t="s">
        <v>281</v>
      </c>
      <c r="AZ208" s="369" t="s">
        <v>282</v>
      </c>
      <c r="BA208" s="369" t="s">
        <v>283</v>
      </c>
    </row>
    <row r="209" spans="37:58" x14ac:dyDescent="0.25">
      <c r="AK209" s="24" t="s">
        <v>342</v>
      </c>
      <c r="AL209" s="245">
        <f t="shared" ref="AL209:AO210" si="171">AP176/AO176*100-100</f>
        <v>22.359071530080527</v>
      </c>
      <c r="AM209" s="245">
        <f t="shared" si="171"/>
        <v>33.759194734804481</v>
      </c>
      <c r="AN209" s="245">
        <f t="shared" si="171"/>
        <v>21.881331403762672</v>
      </c>
      <c r="AO209" s="245">
        <f t="shared" si="171"/>
        <v>-43.267632391355967</v>
      </c>
      <c r="AP209" s="245">
        <f>AU176/AS176*100-100</f>
        <v>148.63959815822517</v>
      </c>
      <c r="AQ209" s="245">
        <f>AV176/AU176*100-100</f>
        <v>-57.154882154882152</v>
      </c>
      <c r="AR209" s="245">
        <f t="shared" ref="AR209:BA210" si="172">AW176/AV176*100-100</f>
        <v>-0.11787819253437704</v>
      </c>
      <c r="AS209" s="245">
        <f t="shared" si="172"/>
        <v>37.057435090479942</v>
      </c>
      <c r="AT209" s="245">
        <f t="shared" si="172"/>
        <v>-21.727898966704942</v>
      </c>
      <c r="AU209" s="245">
        <f t="shared" si="172"/>
        <v>6.3439677301063426</v>
      </c>
      <c r="AV209" s="245">
        <f t="shared" si="172"/>
        <v>6.6896551724137936</v>
      </c>
      <c r="AW209" s="246">
        <f t="shared" si="172"/>
        <v>-12.281835811247575</v>
      </c>
      <c r="AX209" s="246">
        <f t="shared" si="172"/>
        <v>28.260869565217376</v>
      </c>
      <c r="AY209" s="246">
        <f t="shared" si="172"/>
        <v>-4.6538351048549345</v>
      </c>
      <c r="AZ209" s="246">
        <f t="shared" si="172"/>
        <v>8.2554986441699185</v>
      </c>
      <c r="BA209" s="246">
        <f t="shared" si="172"/>
        <v>0.30615084887280375</v>
      </c>
    </row>
    <row r="210" spans="37:58" ht="15.75" thickBot="1" x14ac:dyDescent="0.3">
      <c r="AK210" s="493" t="s">
        <v>343</v>
      </c>
      <c r="AL210" s="365">
        <f t="shared" si="171"/>
        <v>-0.89286538692373085</v>
      </c>
      <c r="AM210" s="365">
        <f t="shared" si="171"/>
        <v>0.96612506521576336</v>
      </c>
      <c r="AN210" s="365">
        <f t="shared" si="171"/>
        <v>6.8771742039068755</v>
      </c>
      <c r="AO210" s="365">
        <f t="shared" si="171"/>
        <v>4.5646055289831224</v>
      </c>
      <c r="AP210" s="365">
        <f>AU177/AS177*100-100</f>
        <v>-4.6076804306721755</v>
      </c>
      <c r="AQ210" s="365">
        <f>AV177/AU177*100-100</f>
        <v>13.163395581329922</v>
      </c>
      <c r="AR210" s="365">
        <f t="shared" si="172"/>
        <v>5.5996420390009121</v>
      </c>
      <c r="AS210" s="365">
        <f t="shared" si="172"/>
        <v>-2.2526193037161022</v>
      </c>
      <c r="AT210" s="365">
        <f t="shared" si="172"/>
        <v>7.7976161806278697</v>
      </c>
      <c r="AU210" s="365">
        <f t="shared" si="172"/>
        <v>0.95377540393677407</v>
      </c>
      <c r="AV210" s="365">
        <f t="shared" si="172"/>
        <v>5.2133976113630638</v>
      </c>
      <c r="AW210" s="538">
        <f t="shared" si="172"/>
        <v>-6.7079346486019489</v>
      </c>
      <c r="AX210" s="538">
        <f t="shared" si="172"/>
        <v>5.6727724266146851</v>
      </c>
      <c r="AY210" s="538">
        <f t="shared" si="172"/>
        <v>-0.52550039059678966</v>
      </c>
      <c r="AZ210" s="538">
        <f t="shared" si="172"/>
        <v>17.22557504924751</v>
      </c>
      <c r="BA210" s="538">
        <f t="shared" si="172"/>
        <v>5.4753493870772587</v>
      </c>
    </row>
    <row r="211" spans="37:58" ht="15.75" thickBot="1" x14ac:dyDescent="0.3">
      <c r="AK211" s="431" t="s">
        <v>385</v>
      </c>
      <c r="AL211" s="496">
        <f t="shared" ref="AL211:AO211" si="173">AP180/AO180*100-100</f>
        <v>-0.66844369664909209</v>
      </c>
      <c r="AM211" s="496">
        <f t="shared" si="173"/>
        <v>1.3560102184069507</v>
      </c>
      <c r="AN211" s="496">
        <f t="shared" si="173"/>
        <v>7.1125925858647463</v>
      </c>
      <c r="AO211" s="496">
        <f t="shared" si="173"/>
        <v>3.7106286276355434</v>
      </c>
      <c r="AP211" s="496">
        <f>AU180/AS180*100-100</f>
        <v>-3.1110111808351917</v>
      </c>
      <c r="AQ211" s="496">
        <f>AV180/AU180*100-100</f>
        <v>11.401025294825004</v>
      </c>
      <c r="AR211" s="496">
        <f t="shared" ref="AR211:BA211" si="174">AW180/AV180*100-100</f>
        <v>5.5445297054077969</v>
      </c>
      <c r="AS211" s="496">
        <f t="shared" si="174"/>
        <v>-1.8940304666893866</v>
      </c>
      <c r="AT211" s="496">
        <f t="shared" si="174"/>
        <v>7.4213477597691195</v>
      </c>
      <c r="AU211" s="496">
        <f t="shared" si="174"/>
        <v>1.0038273471444796</v>
      </c>
      <c r="AV211" s="496">
        <f t="shared" si="174"/>
        <v>5.2278305194454902</v>
      </c>
      <c r="AW211" s="433">
        <f t="shared" si="174"/>
        <v>-6.7631859699933727</v>
      </c>
      <c r="AX211" s="433">
        <f t="shared" si="174"/>
        <v>5.8834242202452742</v>
      </c>
      <c r="AY211" s="433">
        <f t="shared" si="174"/>
        <v>-0.57213696238434864</v>
      </c>
      <c r="AZ211" s="433">
        <f t="shared" si="174"/>
        <v>17.128402637247859</v>
      </c>
      <c r="BA211" s="433">
        <f t="shared" si="174"/>
        <v>5.4235937334544673</v>
      </c>
    </row>
    <row r="214" spans="37:58" ht="15.75" thickBot="1" x14ac:dyDescent="0.3"/>
    <row r="215" spans="37:58" ht="19.5" thickBot="1" x14ac:dyDescent="0.35">
      <c r="AK215" s="1112" t="s">
        <v>386</v>
      </c>
      <c r="AL215" s="1113"/>
      <c r="AM215" s="1113"/>
      <c r="AN215" s="1113"/>
      <c r="AO215" s="1113"/>
      <c r="AP215" s="1113"/>
      <c r="AQ215" s="1113"/>
      <c r="AR215" s="1113"/>
      <c r="AS215" s="1113"/>
      <c r="AT215" s="1113"/>
      <c r="AU215" s="1113"/>
      <c r="AV215" s="1113"/>
      <c r="AW215" s="1113"/>
      <c r="AX215" s="1113"/>
      <c r="AY215" s="1113"/>
      <c r="AZ215" s="1113"/>
      <c r="BA215" s="1113"/>
      <c r="BB215" s="1113"/>
      <c r="BC215" s="1113"/>
      <c r="BD215" s="1113"/>
      <c r="BE215" s="1113"/>
      <c r="BF215" s="1114"/>
    </row>
    <row r="216" spans="37:58" ht="15.75" thickBot="1" x14ac:dyDescent="0.3">
      <c r="AS216" s="1"/>
      <c r="AV216" s="1"/>
      <c r="AW216" s="1"/>
    </row>
    <row r="217" spans="37:58" ht="15.75" thickBot="1" x14ac:dyDescent="0.3">
      <c r="AK217" s="67" t="s">
        <v>65</v>
      </c>
      <c r="AL217" s="77" t="s">
        <v>0</v>
      </c>
      <c r="AM217" s="31" t="s">
        <v>1</v>
      </c>
      <c r="AN217" s="31" t="s">
        <v>2</v>
      </c>
      <c r="AO217" s="31" t="s">
        <v>3</v>
      </c>
      <c r="AP217" s="31" t="s">
        <v>4</v>
      </c>
      <c r="AQ217" s="31" t="s">
        <v>5</v>
      </c>
      <c r="AR217" s="31" t="s">
        <v>6</v>
      </c>
      <c r="AS217" s="31" t="s">
        <v>7</v>
      </c>
      <c r="AT217" s="31" t="s">
        <v>27</v>
      </c>
      <c r="AU217" s="31" t="s">
        <v>9</v>
      </c>
      <c r="AV217" s="31" t="s">
        <v>10</v>
      </c>
      <c r="AW217" s="79" t="s">
        <v>11</v>
      </c>
      <c r="AX217" s="35" t="s">
        <v>12</v>
      </c>
      <c r="AY217" s="35" t="s">
        <v>13</v>
      </c>
      <c r="AZ217" s="35" t="s">
        <v>14</v>
      </c>
      <c r="BA217" s="36" t="s">
        <v>15</v>
      </c>
      <c r="BB217" s="35" t="s">
        <v>16</v>
      </c>
      <c r="BC217" s="526" t="s">
        <v>298</v>
      </c>
      <c r="BD217" s="31" t="s">
        <v>299</v>
      </c>
      <c r="BE217" s="31" t="s">
        <v>300</v>
      </c>
      <c r="BF217" s="509" t="s">
        <v>203</v>
      </c>
    </row>
    <row r="218" spans="37:58" x14ac:dyDescent="0.25">
      <c r="AK218" s="441" t="s">
        <v>34</v>
      </c>
      <c r="AL218" s="359">
        <f>'[15]2016. I. - Állományi'!D14+'[15]2016. I. - Állományi'!E14+'[15]2016. I. - Állományi'!J14</f>
        <v>19597.147987</v>
      </c>
      <c r="AM218" s="359">
        <f>'[15]2016. II. - Állományi'!D14+'[15]2016. II. - Állományi'!E14+'[15]2016. II. - Állományi'!J14</f>
        <v>20782.168768</v>
      </c>
      <c r="AN218" s="359">
        <f>'[15]2016. III. - Állományi'!D14+'[15]2016. III. - Állományi'!E14+'[15]2016. III. - Állományi'!J14</f>
        <v>25286.538732000001</v>
      </c>
      <c r="AO218" s="359">
        <f>'[15]2016. IV.- Állományi'!D14+'[15]2016. IV.- Állományi'!E14+'[15]2016. IV.- Állományi'!J14</f>
        <v>24973.684544999996</v>
      </c>
      <c r="AP218" s="359">
        <f>'[15]2017. I. - Állományi'!D14+'[15]2017. I. - Állományi'!E14+'[15]2017. I. - Állományi'!J14</f>
        <v>26890.769887180002</v>
      </c>
      <c r="AQ218" s="359">
        <f>'[15]2017. II. - Állományi'!D14+'[15]2017. II. - Állományi'!E14+'[15]2017. II. - Állományi'!J14</f>
        <v>30237.238529319999</v>
      </c>
      <c r="AR218" s="359">
        <f>'[15]2017. III. - Állományi'!D14+'[15]2017. III. - Állományi'!E14+'[15]2017. III. - Állományi'!J14</f>
        <v>40235.230150260002</v>
      </c>
      <c r="AS218" s="359">
        <f>'[15]2017. IV. - Állományi'!D14+'[15]2017. IV. - Állományi'!E14+'[15]2017. IV. - Állományi'!J14</f>
        <v>34213.279628590004</v>
      </c>
      <c r="AT218" s="359">
        <f>'[15]2018. I. - Állományi_R'!D14+'[15]2018. I. - Állományi_R'!E14+'[15]2018. I. - Állományi_R'!J14</f>
        <v>24128</v>
      </c>
      <c r="AU218" s="359">
        <v>24130</v>
      </c>
      <c r="AV218" s="359">
        <v>27852</v>
      </c>
      <c r="AW218" s="360">
        <v>33173</v>
      </c>
      <c r="AX218" s="360">
        <v>38555</v>
      </c>
      <c r="AY218" s="80">
        <v>37915</v>
      </c>
      <c r="AZ218" s="80">
        <v>37406</v>
      </c>
      <c r="BA218" s="81">
        <v>44827</v>
      </c>
      <c r="BB218" s="80">
        <v>54413</v>
      </c>
      <c r="BC218" s="539">
        <f>'[15]2020. I. Állomány adatok'!E18+'[15]2020. I. Állomány adatok'!F18+'[15]2020. I. Állomány adatok'!L18</f>
        <v>50970</v>
      </c>
      <c r="BD218" s="359">
        <f>'[15]2020. II. Állományi adatok'!E18+'[15]2020. II. Állományi adatok'!F18+'[15]2020. II. Állományi adatok'!L18</f>
        <v>68108</v>
      </c>
      <c r="BE218" s="359">
        <f>'[15]2020. III. Állományi adatok'!E18+'[15]2020. III. Állományi adatok'!F18+'[15]2020. III. Állományi adatok'!L18</f>
        <v>73911</v>
      </c>
      <c r="BF218" s="443">
        <f>'[15]2020. IV. Állományi adatok'!E18+'[15]2020. IV. Állományi adatok'!F18+'[15]2020. IV. Állományi adatok'!L18</f>
        <v>69137</v>
      </c>
    </row>
    <row r="219" spans="37:58" ht="15.75" thickBot="1" x14ac:dyDescent="0.3">
      <c r="AK219" s="69" t="s">
        <v>35</v>
      </c>
      <c r="AL219" s="282">
        <f>'[15]2016. I. - Állományi'!D53+'[15]2016. I. - Állományi'!E53+'[15]2016. I. - Állományi'!J53</f>
        <v>74792.534156999987</v>
      </c>
      <c r="AM219" s="282">
        <f>'[15]2016. II. - Állományi'!D53+'[15]2016. II. - Állományi'!E53+'[15]2016. II. - Állományi'!J53</f>
        <v>76313.229187999998</v>
      </c>
      <c r="AN219" s="282">
        <f>'[15]2016. III. - Állományi'!D53+'[15]2016. III. - Állományi'!E53+'[15]2016. III. - Állományi'!J53</f>
        <v>86462.678076800003</v>
      </c>
      <c r="AO219" s="282">
        <f>'[15]2016. IV.- Állományi'!D53+'[15]2016. IV.- Állományi'!E53+'[15]2016. IV.- Állományi'!J53</f>
        <v>61419.554027439997</v>
      </c>
      <c r="AP219" s="282">
        <f>'[15]2017. I. - Állományi'!D53+'[15]2017. I. - Állományi'!E53+'[15]2017. I. - Állományi'!J53</f>
        <v>72550.045089000007</v>
      </c>
      <c r="AQ219" s="282">
        <f>'[15]2017. II. - Állományi'!D53+'[15]2017. II. - Állományi'!E53+'[15]2017. II. - Állományi'!J53</f>
        <v>69329.348186000003</v>
      </c>
      <c r="AR219" s="282">
        <f>'[15]2017. III. - Állományi'!D53+'[15]2017. III. - Állományi'!E53+'[15]2017. III. - Állományi'!J53</f>
        <v>82608.190712999989</v>
      </c>
      <c r="AS219" s="282">
        <f>'[15]2017. IV. - Állományi'!D53+'[15]2017. IV. - Állományi'!E53+'[15]2017. IV. - Állományi'!J53</f>
        <v>85227.701240000009</v>
      </c>
      <c r="AT219" s="282">
        <f>'[15]2018. I. - Állományi_R'!D54+'[15]2018. I. - Állományi_R'!E54+'[15]2018. I. - Állományi_R'!J54</f>
        <v>73054.161999999997</v>
      </c>
      <c r="AU219" s="282">
        <v>73064</v>
      </c>
      <c r="AV219" s="282">
        <v>76052</v>
      </c>
      <c r="AW219" s="283">
        <v>88601</v>
      </c>
      <c r="AX219" s="283">
        <v>95958</v>
      </c>
      <c r="AY219" s="282">
        <v>93839</v>
      </c>
      <c r="AZ219" s="282">
        <v>96768</v>
      </c>
      <c r="BA219" s="283">
        <v>94748</v>
      </c>
      <c r="BB219" s="282">
        <v>91917</v>
      </c>
      <c r="BC219" s="540">
        <f>'[15]2020. I. Állomány adatok'!E65+'[15]2020. I. Állomány adatok'!F65-'[15]2020. I. Állomány adatok'!L65</f>
        <v>66308</v>
      </c>
      <c r="BD219" s="282">
        <f>'[15]2020. II. Állományi adatok'!E65+'[15]2020. II. Állományi adatok'!F65+'[15]2020. II. Állományi adatok'!L65</f>
        <v>97282</v>
      </c>
      <c r="BE219" s="282">
        <f>'[15]2020. III. Állományi adatok'!E65+'[15]2020. III. Állományi adatok'!F65+'[15]2020. III. Állományi adatok'!L65</f>
        <v>101506</v>
      </c>
      <c r="BF219" s="445">
        <f>'[15]2020. IV. Állományi adatok'!E65+'[15]2020. IV. Állományi adatok'!F65+'[15]2020. IV. Állományi adatok'!L65</f>
        <v>89286</v>
      </c>
    </row>
    <row r="220" spans="37:58" x14ac:dyDescent="0.25">
      <c r="AK220" s="510" t="s">
        <v>387</v>
      </c>
      <c r="AL220" s="231">
        <f>AL218/AL222*100</f>
        <v>20.761959932339614</v>
      </c>
      <c r="AM220" s="231">
        <f t="shared" ref="AM220:BB220" si="175">AM218/AM222*100</f>
        <v>21.403865894259685</v>
      </c>
      <c r="AN220" s="231">
        <f t="shared" si="175"/>
        <v>22.627933737794876</v>
      </c>
      <c r="AO220" s="231">
        <f t="shared" si="175"/>
        <v>28.906989664543914</v>
      </c>
      <c r="AP220" s="231">
        <f t="shared" si="175"/>
        <v>27.041984615292424</v>
      </c>
      <c r="AQ220" s="231">
        <f t="shared" si="175"/>
        <v>30.368861208202375</v>
      </c>
      <c r="AR220" s="231">
        <f t="shared" si="175"/>
        <v>32.753264169553546</v>
      </c>
      <c r="AS220" s="231">
        <f t="shared" si="175"/>
        <v>28.644506583742601</v>
      </c>
      <c r="AT220" s="231">
        <f t="shared" si="175"/>
        <v>24.827601592152273</v>
      </c>
      <c r="AU220" s="231">
        <f t="shared" si="175"/>
        <v>24.826635389015784</v>
      </c>
      <c r="AV220" s="231">
        <f t="shared" si="175"/>
        <v>26.805512781028639</v>
      </c>
      <c r="AW220" s="541">
        <f t="shared" si="175"/>
        <v>27.241447271174469</v>
      </c>
      <c r="AX220" s="541">
        <f t="shared" si="175"/>
        <v>28.662657140945484</v>
      </c>
      <c r="AY220" s="220">
        <f t="shared" si="175"/>
        <v>28.777114926302051</v>
      </c>
      <c r="AZ220" s="220">
        <f t="shared" si="175"/>
        <v>27.878724641137627</v>
      </c>
      <c r="BA220" s="288">
        <f t="shared" si="175"/>
        <v>32.11678309152785</v>
      </c>
      <c r="BB220" s="220">
        <f t="shared" si="175"/>
        <v>37.185129501810977</v>
      </c>
      <c r="BC220" s="499">
        <f>BC218/BC222*100</f>
        <v>43.460836644553972</v>
      </c>
      <c r="BD220" s="232">
        <f>BD218/BD222*100</f>
        <v>41.180240643327892</v>
      </c>
      <c r="BE220" s="232">
        <f>BE218/BE222*100</f>
        <v>42.134456751626125</v>
      </c>
      <c r="BF220" s="232">
        <f>BF218/BF222*100</f>
        <v>43.640759233192149</v>
      </c>
    </row>
    <row r="221" spans="37:58" ht="15.75" thickBot="1" x14ac:dyDescent="0.3">
      <c r="AK221" s="290" t="s">
        <v>388</v>
      </c>
      <c r="AL221" s="542">
        <f>AL219/AL222*100</f>
        <v>79.238040067660378</v>
      </c>
      <c r="AM221" s="542">
        <f t="shared" ref="AM221:BF221" si="176">AM219/AM222*100</f>
        <v>78.596134105740305</v>
      </c>
      <c r="AN221" s="542">
        <f t="shared" si="176"/>
        <v>77.372066262205124</v>
      </c>
      <c r="AO221" s="542">
        <f t="shared" si="176"/>
        <v>71.093010335456086</v>
      </c>
      <c r="AP221" s="542">
        <f t="shared" si="176"/>
        <v>72.958015384707579</v>
      </c>
      <c r="AQ221" s="542">
        <f t="shared" si="176"/>
        <v>69.631138791797625</v>
      </c>
      <c r="AR221" s="542">
        <f t="shared" si="176"/>
        <v>67.246735830446454</v>
      </c>
      <c r="AS221" s="542">
        <f t="shared" si="176"/>
        <v>71.355493416257403</v>
      </c>
      <c r="AT221" s="542">
        <f t="shared" si="176"/>
        <v>75.172398407847723</v>
      </c>
      <c r="AU221" s="542">
        <f t="shared" si="176"/>
        <v>75.173364610984223</v>
      </c>
      <c r="AV221" s="542">
        <f t="shared" si="176"/>
        <v>73.194487218971361</v>
      </c>
      <c r="AW221" s="542">
        <f t="shared" si="176"/>
        <v>72.758552728825535</v>
      </c>
      <c r="AX221" s="542">
        <f t="shared" si="176"/>
        <v>71.337342859054516</v>
      </c>
      <c r="AY221" s="292">
        <f t="shared" si="176"/>
        <v>71.222885073697952</v>
      </c>
      <c r="AZ221" s="292">
        <f t="shared" si="176"/>
        <v>72.121275358862363</v>
      </c>
      <c r="BA221" s="293">
        <f t="shared" si="176"/>
        <v>67.88321690847215</v>
      </c>
      <c r="BB221" s="292">
        <f t="shared" si="176"/>
        <v>62.814870498189023</v>
      </c>
      <c r="BC221" s="543">
        <f t="shared" si="176"/>
        <v>56.539163355446028</v>
      </c>
      <c r="BD221" s="512">
        <f t="shared" si="176"/>
        <v>58.819759356672108</v>
      </c>
      <c r="BE221" s="512">
        <f t="shared" si="176"/>
        <v>57.865543248373875</v>
      </c>
      <c r="BF221" s="512">
        <f t="shared" si="176"/>
        <v>56.359240766807851</v>
      </c>
    </row>
    <row r="222" spans="37:58" x14ac:dyDescent="0.25">
      <c r="AK222" s="452" t="s">
        <v>389</v>
      </c>
      <c r="AL222" s="515">
        <f>AL218+AL219</f>
        <v>94389.682143999991</v>
      </c>
      <c r="AM222" s="516">
        <f t="shared" ref="AM222:AX222" si="177">AM218+AM219</f>
        <v>97095.397956000001</v>
      </c>
      <c r="AN222" s="516">
        <f t="shared" si="177"/>
        <v>111749.2168088</v>
      </c>
      <c r="AO222" s="516">
        <f t="shared" si="177"/>
        <v>86393.238572439994</v>
      </c>
      <c r="AP222" s="516">
        <f t="shared" si="177"/>
        <v>99440.814976180001</v>
      </c>
      <c r="AQ222" s="516">
        <f t="shared" si="177"/>
        <v>99566.586715320009</v>
      </c>
      <c r="AR222" s="516">
        <f t="shared" si="177"/>
        <v>122843.42086325999</v>
      </c>
      <c r="AS222" s="516">
        <f t="shared" si="177"/>
        <v>119440.98086859001</v>
      </c>
      <c r="AT222" s="516">
        <f t="shared" si="177"/>
        <v>97182.161999999997</v>
      </c>
      <c r="AU222" s="516">
        <f t="shared" si="177"/>
        <v>97194</v>
      </c>
      <c r="AV222" s="516">
        <f t="shared" si="177"/>
        <v>103904</v>
      </c>
      <c r="AW222" s="517">
        <f t="shared" si="177"/>
        <v>121774</v>
      </c>
      <c r="AX222" s="517">
        <f t="shared" si="177"/>
        <v>134513</v>
      </c>
      <c r="AY222" s="371">
        <f>AY218+AY219</f>
        <v>131754</v>
      </c>
      <c r="AZ222" s="371">
        <f>AZ218+AZ219</f>
        <v>134174</v>
      </c>
      <c r="BA222" s="372">
        <f>BA218+BA219</f>
        <v>139575</v>
      </c>
      <c r="BB222" s="371">
        <f>BB218+BB219</f>
        <v>146330</v>
      </c>
      <c r="BC222" s="544">
        <f t="shared" ref="BC222:BF222" si="178">BC218+BC219</f>
        <v>117278</v>
      </c>
      <c r="BD222" s="516">
        <f t="shared" si="178"/>
        <v>165390</v>
      </c>
      <c r="BE222" s="516">
        <f t="shared" si="178"/>
        <v>175417</v>
      </c>
      <c r="BF222" s="516">
        <f t="shared" si="178"/>
        <v>158423</v>
      </c>
    </row>
    <row r="223" spans="37:58" x14ac:dyDescent="0.25">
      <c r="AK223" s="448" t="s">
        <v>390</v>
      </c>
      <c r="AL223" s="519">
        <f>AL222/AL224*100</f>
        <v>21.392108110852242</v>
      </c>
      <c r="AM223" s="519">
        <f>AM222/AM224*100</f>
        <v>21.184604532978422</v>
      </c>
      <c r="AN223" s="519">
        <f>AN222/AN224*100</f>
        <v>21.964411862398631</v>
      </c>
      <c r="AO223" s="519">
        <f t="shared" ref="AO223:AX223" si="179">AO222/AO224*100</f>
        <v>15.33834683931469</v>
      </c>
      <c r="AP223" s="519">
        <f t="shared" si="179"/>
        <v>16.435411704379877</v>
      </c>
      <c r="AQ223" s="519">
        <f t="shared" si="179"/>
        <v>15.995146304350341</v>
      </c>
      <c r="AR223" s="519">
        <f t="shared" si="179"/>
        <v>19.053644794246839</v>
      </c>
      <c r="AS223" s="519">
        <f t="shared" si="179"/>
        <v>19.559358147278598</v>
      </c>
      <c r="AT223" s="519">
        <f t="shared" si="179"/>
        <v>16.744920808866098</v>
      </c>
      <c r="AU223" s="519">
        <f t="shared" si="179"/>
        <v>15.698708330035647</v>
      </c>
      <c r="AV223" s="519">
        <f t="shared" si="179"/>
        <v>16.116443413142072</v>
      </c>
      <c r="AW223" s="520">
        <f t="shared" si="179"/>
        <v>18.245920012466215</v>
      </c>
      <c r="AX223" s="520">
        <f t="shared" si="179"/>
        <v>21.541036111778364</v>
      </c>
      <c r="AY223" s="223">
        <f>AY222/AY224*100</f>
        <v>19.246467084062509</v>
      </c>
      <c r="AZ223" s="223">
        <f>AZ222/AZ224*100</f>
        <v>18.56789180377325</v>
      </c>
      <c r="BA223" s="478">
        <f>BA222/BA224*100</f>
        <v>18.696828069555014</v>
      </c>
      <c r="BB223" s="223">
        <f>BB222/BB224*100</f>
        <v>20.076640548145932</v>
      </c>
      <c r="BC223" s="545">
        <f t="shared" ref="BC223:BF223" si="180">BC222/BC224*100</f>
        <v>15.996844879531736</v>
      </c>
      <c r="BD223" s="521">
        <f t="shared" si="180"/>
        <v>21.323338864328178</v>
      </c>
      <c r="BE223" s="521">
        <f t="shared" si="180"/>
        <v>21.58941261319805</v>
      </c>
      <c r="BF223" s="521">
        <f t="shared" si="180"/>
        <v>19.440241593377532</v>
      </c>
    </row>
    <row r="224" spans="37:58" x14ac:dyDescent="0.25">
      <c r="AK224" s="452" t="s">
        <v>36</v>
      </c>
      <c r="AL224" s="524">
        <v>441236</v>
      </c>
      <c r="AM224" s="304">
        <v>458330</v>
      </c>
      <c r="AN224" s="304">
        <v>508774</v>
      </c>
      <c r="AO224" s="304">
        <v>563250</v>
      </c>
      <c r="AP224" s="304">
        <v>605040</v>
      </c>
      <c r="AQ224" s="304">
        <v>622480</v>
      </c>
      <c r="AR224" s="304">
        <v>644724</v>
      </c>
      <c r="AS224" s="304">
        <v>610659</v>
      </c>
      <c r="AT224" s="304">
        <v>580368</v>
      </c>
      <c r="AU224" s="304">
        <v>619121</v>
      </c>
      <c r="AV224" s="304">
        <v>644708</v>
      </c>
      <c r="AW224" s="305">
        <v>667404</v>
      </c>
      <c r="AX224" s="454">
        <v>624450</v>
      </c>
      <c r="AY224" s="304">
        <v>684562</v>
      </c>
      <c r="AZ224" s="304">
        <v>722613</v>
      </c>
      <c r="BA224" s="305">
        <v>746517</v>
      </c>
      <c r="BB224" s="304">
        <v>728857</v>
      </c>
      <c r="BC224" s="453">
        <v>733132.07</v>
      </c>
      <c r="BD224" s="304">
        <v>775629</v>
      </c>
      <c r="BE224" s="453">
        <v>812514</v>
      </c>
      <c r="BF224" s="455">
        <v>814923</v>
      </c>
    </row>
    <row r="225" spans="10:58" x14ac:dyDescent="0.25">
      <c r="AK225" s="25" t="s">
        <v>391</v>
      </c>
      <c r="AL225" s="456">
        <v>0</v>
      </c>
      <c r="AM225" s="14">
        <f t="shared" ref="AM225:AX225" si="181">AM222/AL222*100-100</f>
        <v>2.8665376877445254</v>
      </c>
      <c r="AN225" s="14">
        <f t="shared" si="181"/>
        <v>15.092186819647793</v>
      </c>
      <c r="AO225" s="14">
        <f t="shared" si="181"/>
        <v>-22.690072432224227</v>
      </c>
      <c r="AP225" s="14">
        <f t="shared" si="181"/>
        <v>15.102543462124899</v>
      </c>
      <c r="AQ225" s="14">
        <f t="shared" si="181"/>
        <v>0.12647899071436086</v>
      </c>
      <c r="AR225" s="14">
        <f t="shared" si="181"/>
        <v>23.378158191254371</v>
      </c>
      <c r="AS225" s="14">
        <f t="shared" si="181"/>
        <v>-2.7697372563869891</v>
      </c>
      <c r="AT225" s="14">
        <f t="shared" si="181"/>
        <v>-18.635830605811378</v>
      </c>
      <c r="AU225" s="14">
        <f t="shared" si="181"/>
        <v>1.2181247830241659E-2</v>
      </c>
      <c r="AV225" s="14">
        <f t="shared" si="181"/>
        <v>6.9037183365228287</v>
      </c>
      <c r="AW225" s="29">
        <f t="shared" si="181"/>
        <v>17.198567908838939</v>
      </c>
      <c r="AX225" s="29">
        <f t="shared" si="181"/>
        <v>10.461182189958436</v>
      </c>
      <c r="AY225" s="309">
        <f>AY222/AW222*100-100</f>
        <v>8.1955097147174314</v>
      </c>
      <c r="AZ225" s="309">
        <f t="shared" ref="AZ225:BF225" si="182">AZ222/AY222*100-100</f>
        <v>1.8367563793129591</v>
      </c>
      <c r="BA225" s="310">
        <f t="shared" si="182"/>
        <v>4.0253700418859069</v>
      </c>
      <c r="BB225" s="309">
        <f t="shared" si="182"/>
        <v>4.8396919219057821</v>
      </c>
      <c r="BC225" s="458">
        <f t="shared" si="182"/>
        <v>-19.853755210824858</v>
      </c>
      <c r="BD225" s="14">
        <f t="shared" si="182"/>
        <v>41.023891949044156</v>
      </c>
      <c r="BE225" s="14">
        <f t="shared" si="182"/>
        <v>6.0626398210290802</v>
      </c>
      <c r="BF225" s="14">
        <f t="shared" si="182"/>
        <v>-9.687772564802728</v>
      </c>
    </row>
    <row r="226" spans="10:58" x14ac:dyDescent="0.25">
      <c r="AK226" s="15" t="s">
        <v>312</v>
      </c>
      <c r="AL226" s="458">
        <f t="shared" ref="AL226:BF226" si="183">AL218/AL224*100</f>
        <v>4.4414209146579156</v>
      </c>
      <c r="AM226" s="458">
        <f t="shared" si="183"/>
        <v>4.5343243444679597</v>
      </c>
      <c r="AN226" s="458">
        <f t="shared" si="183"/>
        <v>4.9700925621199197</v>
      </c>
      <c r="AO226" s="458">
        <f t="shared" si="183"/>
        <v>4.4338543355525957</v>
      </c>
      <c r="AP226" s="458">
        <f t="shared" si="183"/>
        <v>4.4444615045583769</v>
      </c>
      <c r="AQ226" s="458">
        <f t="shared" si="183"/>
        <v>4.8575437812170668</v>
      </c>
      <c r="AR226" s="458">
        <f t="shared" si="183"/>
        <v>6.2406906133880549</v>
      </c>
      <c r="AS226" s="458">
        <f t="shared" si="183"/>
        <v>5.6026816322350124</v>
      </c>
      <c r="AT226" s="458">
        <f t="shared" si="183"/>
        <v>4.1573622253466764</v>
      </c>
      <c r="AU226" s="458">
        <f t="shared" si="183"/>
        <v>3.8974610778829986</v>
      </c>
      <c r="AV226" s="458">
        <f t="shared" si="183"/>
        <v>4.3200952989570478</v>
      </c>
      <c r="AW226" s="459">
        <f t="shared" si="183"/>
        <v>4.9704526793366535</v>
      </c>
      <c r="AX226" s="459">
        <f t="shared" si="183"/>
        <v>6.1742333253262869</v>
      </c>
      <c r="AY226" s="14">
        <f t="shared" si="183"/>
        <v>5.5385779520335632</v>
      </c>
      <c r="AZ226" s="14">
        <f t="shared" si="183"/>
        <v>5.1764914276383074</v>
      </c>
      <c r="BA226" s="29">
        <f t="shared" si="183"/>
        <v>6.004819716094878</v>
      </c>
      <c r="BB226" s="14">
        <f t="shared" si="183"/>
        <v>7.4655247874411579</v>
      </c>
      <c r="BC226" s="458">
        <f t="shared" si="183"/>
        <v>6.9523626213759817</v>
      </c>
      <c r="BD226" s="14">
        <f t="shared" si="183"/>
        <v>8.781002257522605</v>
      </c>
      <c r="BE226" s="14">
        <f t="shared" si="183"/>
        <v>9.0965817204380475</v>
      </c>
      <c r="BF226" s="14">
        <f t="shared" si="183"/>
        <v>8.4838690281167661</v>
      </c>
    </row>
    <row r="227" spans="10:58" ht="15.75" thickBot="1" x14ac:dyDescent="0.3">
      <c r="AK227" s="15" t="s">
        <v>313</v>
      </c>
      <c r="AL227" s="458">
        <f t="shared" ref="AL227:AX227" si="184">AL219/AL224*100</f>
        <v>16.950687196194323</v>
      </c>
      <c r="AM227" s="458">
        <f t="shared" si="184"/>
        <v>16.650280188510461</v>
      </c>
      <c r="AN227" s="458">
        <f t="shared" si="184"/>
        <v>16.994319300278711</v>
      </c>
      <c r="AO227" s="458">
        <f t="shared" si="184"/>
        <v>10.904492503762095</v>
      </c>
      <c r="AP227" s="458">
        <f t="shared" si="184"/>
        <v>11.9909501998215</v>
      </c>
      <c r="AQ227" s="458">
        <f t="shared" si="184"/>
        <v>11.137602523133273</v>
      </c>
      <c r="AR227" s="458">
        <f t="shared" si="184"/>
        <v>12.812954180858785</v>
      </c>
      <c r="AS227" s="458">
        <f t="shared" si="184"/>
        <v>13.956676515043586</v>
      </c>
      <c r="AT227" s="458">
        <f t="shared" si="184"/>
        <v>12.587558583519421</v>
      </c>
      <c r="AU227" s="458">
        <f t="shared" si="184"/>
        <v>11.801247252152649</v>
      </c>
      <c r="AV227" s="458">
        <f t="shared" si="184"/>
        <v>11.796348114185026</v>
      </c>
      <c r="AW227" s="459">
        <f t="shared" si="184"/>
        <v>13.275467333129559</v>
      </c>
      <c r="AX227" s="459">
        <f t="shared" si="184"/>
        <v>15.366802786452077</v>
      </c>
      <c r="AY227" s="481">
        <f>AY219/AY224*100</f>
        <v>13.707889132028948</v>
      </c>
      <c r="AZ227" s="481">
        <f>AZ219/AZ224*100</f>
        <v>13.391400376134943</v>
      </c>
      <c r="BA227" s="462">
        <f>BA219/BA224*100</f>
        <v>12.692008353460135</v>
      </c>
      <c r="BB227" s="481">
        <f>BB219/BB224*100</f>
        <v>12.611115760704775</v>
      </c>
      <c r="BC227" s="460">
        <f t="shared" ref="BC227:BF227" si="185">BC219/BC224*100</f>
        <v>9.0444822581557514</v>
      </c>
      <c r="BD227" s="481">
        <f t="shared" si="185"/>
        <v>12.542336606805573</v>
      </c>
      <c r="BE227" s="481">
        <f t="shared" si="185"/>
        <v>12.492830892760001</v>
      </c>
      <c r="BF227" s="481">
        <f t="shared" si="185"/>
        <v>10.956372565260766</v>
      </c>
    </row>
    <row r="228" spans="10:58" ht="15.75" thickBot="1" x14ac:dyDescent="0.3">
      <c r="AK228" s="325" t="s">
        <v>26</v>
      </c>
      <c r="AL228" s="326">
        <v>825056</v>
      </c>
      <c r="AM228" s="327">
        <v>848204</v>
      </c>
      <c r="AN228" s="327">
        <v>924696</v>
      </c>
      <c r="AO228" s="327">
        <v>985514</v>
      </c>
      <c r="AP228" s="327">
        <v>997791</v>
      </c>
      <c r="AQ228" s="327">
        <v>1005984</v>
      </c>
      <c r="AR228" s="327">
        <v>1073238</v>
      </c>
      <c r="AS228" s="327">
        <v>1070624</v>
      </c>
      <c r="AT228" s="327">
        <v>1030760</v>
      </c>
      <c r="AU228" s="327">
        <v>1072544</v>
      </c>
      <c r="AV228" s="328">
        <v>1109892</v>
      </c>
      <c r="AW228" s="328">
        <v>1163376</v>
      </c>
      <c r="AX228" s="328">
        <v>1129593</v>
      </c>
      <c r="AY228" s="329">
        <v>1205011</v>
      </c>
      <c r="AZ228" s="329">
        <v>1233423</v>
      </c>
      <c r="BA228" s="330">
        <v>1292983</v>
      </c>
      <c r="BB228" s="329">
        <v>1269580</v>
      </c>
      <c r="BC228" s="482">
        <v>1292276.71</v>
      </c>
      <c r="BD228" s="465">
        <v>1306049</v>
      </c>
      <c r="BE228" s="482">
        <v>1405757</v>
      </c>
      <c r="BF228" s="467">
        <v>1431391</v>
      </c>
    </row>
    <row r="229" spans="10:58" ht="15.75" thickBot="1" x14ac:dyDescent="0.3">
      <c r="AK229" s="8" t="s">
        <v>392</v>
      </c>
      <c r="AL229" s="9">
        <f t="shared" ref="AL229:AX229" si="186">AL222/AL228*100</f>
        <v>11.440397032928672</v>
      </c>
      <c r="AM229" s="9">
        <f t="shared" si="186"/>
        <v>11.447175202663511</v>
      </c>
      <c r="AN229" s="9">
        <f t="shared" si="186"/>
        <v>12.084968120203829</v>
      </c>
      <c r="AO229" s="9">
        <f t="shared" si="186"/>
        <v>8.7663126624725773</v>
      </c>
      <c r="AP229" s="9">
        <f t="shared" si="186"/>
        <v>9.9660966050184854</v>
      </c>
      <c r="AQ229" s="9">
        <f t="shared" si="186"/>
        <v>9.8974324358359578</v>
      </c>
      <c r="AR229" s="9">
        <f t="shared" si="186"/>
        <v>11.446055848121292</v>
      </c>
      <c r="AS229" s="9">
        <f t="shared" si="186"/>
        <v>11.156202445358035</v>
      </c>
      <c r="AT229" s="9">
        <f t="shared" si="186"/>
        <v>9.4282046257130663</v>
      </c>
      <c r="AU229" s="9">
        <f t="shared" si="186"/>
        <v>9.0620058477787389</v>
      </c>
      <c r="AV229" s="9">
        <f t="shared" si="186"/>
        <v>9.3616315821719596</v>
      </c>
      <c r="AW229" s="337">
        <f t="shared" si="186"/>
        <v>10.467295182297038</v>
      </c>
      <c r="AX229" s="337">
        <f t="shared" si="186"/>
        <v>11.908094331321104</v>
      </c>
      <c r="AY229" s="10">
        <f>AY222/AY228*100</f>
        <v>10.933842097706991</v>
      </c>
      <c r="AZ229" s="10">
        <f>AZ222/AZ228*100</f>
        <v>10.878182099733829</v>
      </c>
      <c r="BA229" s="193">
        <f>BA222/BA228*100</f>
        <v>10.794805500149653</v>
      </c>
      <c r="BB229" s="10">
        <f>BB222/BB228*100</f>
        <v>11.525858945478031</v>
      </c>
      <c r="BC229" s="546">
        <f t="shared" ref="BC229:BF229" si="187">BC222/BC228*100</f>
        <v>9.0753009082706448</v>
      </c>
      <c r="BD229" s="10">
        <f t="shared" si="187"/>
        <v>12.663383992484203</v>
      </c>
      <c r="BE229" s="10">
        <f t="shared" si="187"/>
        <v>12.478472452920384</v>
      </c>
      <c r="BF229" s="10">
        <f t="shared" si="187"/>
        <v>11.06776555113173</v>
      </c>
    </row>
    <row r="231" spans="10:58" ht="15.75" thickBot="1" x14ac:dyDescent="0.3"/>
    <row r="232" spans="10:58" ht="19.5" thickBot="1" x14ac:dyDescent="0.35">
      <c r="J232" s="3" t="s">
        <v>42</v>
      </c>
      <c r="K232" s="95" t="s">
        <v>0</v>
      </c>
      <c r="L232" s="94" t="s">
        <v>1</v>
      </c>
      <c r="M232" s="94" t="s">
        <v>2</v>
      </c>
      <c r="N232" s="94" t="s">
        <v>3</v>
      </c>
      <c r="O232" s="94" t="s">
        <v>4</v>
      </c>
      <c r="P232" s="94" t="s">
        <v>5</v>
      </c>
      <c r="Q232" s="94" t="s">
        <v>6</v>
      </c>
      <c r="R232" s="94" t="s">
        <v>7</v>
      </c>
      <c r="S232" s="94" t="s">
        <v>27</v>
      </c>
      <c r="T232" s="94" t="s">
        <v>9</v>
      </c>
      <c r="U232" s="94" t="s">
        <v>10</v>
      </c>
      <c r="V232" s="94" t="s">
        <v>11</v>
      </c>
      <c r="W232" s="73" t="s">
        <v>12</v>
      </c>
      <c r="X232" s="94" t="s">
        <v>13</v>
      </c>
      <c r="Y232" s="94" t="s">
        <v>14</v>
      </c>
      <c r="Z232" s="73" t="s">
        <v>15</v>
      </c>
      <c r="AA232" s="75" t="s">
        <v>16</v>
      </c>
      <c r="AB232" s="75" t="s">
        <v>17</v>
      </c>
      <c r="AC232" s="75" t="s">
        <v>18</v>
      </c>
      <c r="AD232" s="75" t="s">
        <v>19</v>
      </c>
      <c r="AE232" s="94" t="s">
        <v>20</v>
      </c>
      <c r="AF232" s="94" t="s">
        <v>202</v>
      </c>
      <c r="AG232" s="94" t="s">
        <v>21</v>
      </c>
      <c r="AH232" s="94" t="s">
        <v>22</v>
      </c>
      <c r="AI232" s="94" t="s">
        <v>203</v>
      </c>
      <c r="AK232" s="1112" t="s">
        <v>393</v>
      </c>
      <c r="AL232" s="1113"/>
      <c r="AM232" s="1113"/>
      <c r="AN232" s="1113"/>
      <c r="AO232" s="1113"/>
      <c r="AP232" s="1113"/>
      <c r="AQ232" s="1113"/>
      <c r="AR232" s="1113"/>
      <c r="AS232" s="1113"/>
      <c r="AT232" s="1113"/>
      <c r="AU232" s="1113"/>
      <c r="AV232" s="1113"/>
      <c r="AW232" s="1113"/>
      <c r="AX232" s="1113"/>
      <c r="AY232" s="1113"/>
      <c r="AZ232" s="1113"/>
      <c r="BA232" s="1113"/>
      <c r="BB232" s="1113"/>
      <c r="BC232" s="1113"/>
      <c r="BD232" s="1113"/>
      <c r="BE232" s="1113"/>
      <c r="BF232" s="1114"/>
    </row>
    <row r="233" spans="10:58" ht="15.75" thickBot="1" x14ac:dyDescent="0.3">
      <c r="J233" s="23" t="s">
        <v>53</v>
      </c>
      <c r="K233" s="529">
        <v>2.7850000000000001</v>
      </c>
      <c r="L233" s="529">
        <v>2.9780000000000002</v>
      </c>
      <c r="M233" s="529">
        <v>3.1360000000000001</v>
      </c>
      <c r="N233" s="529">
        <v>3.6110000000000002</v>
      </c>
      <c r="O233" s="529">
        <v>3.956</v>
      </c>
      <c r="P233" s="529">
        <v>4.8659999999999997</v>
      </c>
      <c r="Q233" s="529">
        <v>6.492</v>
      </c>
      <c r="R233" s="529">
        <v>4.1269999999999998</v>
      </c>
      <c r="S233" s="529">
        <v>8.2780000000000005</v>
      </c>
      <c r="T233" s="529">
        <v>8.5220000000000002</v>
      </c>
      <c r="U233" s="529">
        <v>4.0369999999999999</v>
      </c>
      <c r="V233" s="529">
        <v>4.0789999999999997</v>
      </c>
      <c r="W233" s="529">
        <v>7.4290000000000003</v>
      </c>
      <c r="X233" s="529">
        <v>4.9889999999999999</v>
      </c>
      <c r="Y233" s="529">
        <v>4.726</v>
      </c>
      <c r="Z233" s="529">
        <v>5.0359999999999996</v>
      </c>
      <c r="AA233" s="529">
        <v>5.6319999999999997</v>
      </c>
      <c r="AB233" s="529">
        <v>5.5838000000000001</v>
      </c>
      <c r="AC233" s="529">
        <v>5.4050000000000002</v>
      </c>
      <c r="AD233" s="529">
        <v>6.0309999999999997</v>
      </c>
      <c r="AE233" s="529">
        <v>6.1470000000000002</v>
      </c>
      <c r="AF233" s="529">
        <v>6.0640000000000001</v>
      </c>
      <c r="AG233" s="5"/>
      <c r="AH233" s="5"/>
      <c r="AI233" s="5"/>
    </row>
    <row r="234" spans="10:58" ht="15.75" thickBot="1" x14ac:dyDescent="0.3">
      <c r="J234" s="19" t="s">
        <v>374</v>
      </c>
      <c r="K234" s="529">
        <v>381.036</v>
      </c>
      <c r="L234" s="529">
        <v>386.89600000000002</v>
      </c>
      <c r="M234" s="529">
        <v>412.786</v>
      </c>
      <c r="N234" s="529">
        <v>418.65300000000002</v>
      </c>
      <c r="O234" s="529">
        <v>388.79399999999998</v>
      </c>
      <c r="P234" s="529">
        <v>378.63900000000001</v>
      </c>
      <c r="Q234" s="529">
        <v>422.02100000000002</v>
      </c>
      <c r="R234" s="529">
        <v>455.839</v>
      </c>
      <c r="S234" s="529">
        <v>442.11399999999998</v>
      </c>
      <c r="T234" s="529">
        <v>444.90100000000001</v>
      </c>
      <c r="U234" s="529">
        <v>461.14699999999999</v>
      </c>
      <c r="V234" s="529">
        <v>491.89299999999997</v>
      </c>
      <c r="W234" s="529">
        <v>497.714</v>
      </c>
      <c r="X234" s="529">
        <v>515.46</v>
      </c>
      <c r="Y234" s="529">
        <v>506.084</v>
      </c>
      <c r="Z234" s="529">
        <v>541.42999999999995</v>
      </c>
      <c r="AA234" s="529">
        <v>539.25599999999997</v>
      </c>
      <c r="AB234" s="529">
        <v>553.56083999999998</v>
      </c>
      <c r="AC234" s="529">
        <v>525.01400000000001</v>
      </c>
      <c r="AD234" s="529">
        <v>587.21299999999997</v>
      </c>
      <c r="AE234" s="529">
        <v>610.32000000000005</v>
      </c>
      <c r="AF234" s="529">
        <v>614.66499999999996</v>
      </c>
      <c r="AG234" s="5"/>
      <c r="AH234" s="5"/>
      <c r="AI234" s="5"/>
      <c r="AK234" s="525" t="s">
        <v>394</v>
      </c>
      <c r="AL234" s="526" t="s">
        <v>0</v>
      </c>
      <c r="AM234" s="31" t="s">
        <v>1</v>
      </c>
      <c r="AN234" s="31" t="s">
        <v>2</v>
      </c>
      <c r="AO234" s="31" t="s">
        <v>3</v>
      </c>
      <c r="AP234" s="31" t="s">
        <v>4</v>
      </c>
      <c r="AQ234" s="31" t="s">
        <v>5</v>
      </c>
      <c r="AR234" s="31" t="s">
        <v>6</v>
      </c>
      <c r="AS234" s="31" t="s">
        <v>7</v>
      </c>
      <c r="AT234" s="31" t="s">
        <v>27</v>
      </c>
      <c r="AU234" s="31" t="s">
        <v>9</v>
      </c>
      <c r="AV234" s="31" t="s">
        <v>10</v>
      </c>
      <c r="AW234" s="79" t="s">
        <v>11</v>
      </c>
      <c r="AX234" s="35" t="s">
        <v>12</v>
      </c>
      <c r="AY234" s="35" t="s">
        <v>13</v>
      </c>
      <c r="AZ234" s="35" t="s">
        <v>14</v>
      </c>
      <c r="BA234" s="368" t="s">
        <v>15</v>
      </c>
      <c r="BB234" s="35" t="s">
        <v>16</v>
      </c>
      <c r="BC234" s="526" t="s">
        <v>298</v>
      </c>
      <c r="BD234" s="31" t="s">
        <v>299</v>
      </c>
      <c r="BE234" s="526" t="s">
        <v>300</v>
      </c>
      <c r="BF234" s="509" t="s">
        <v>203</v>
      </c>
    </row>
    <row r="235" spans="10:58" x14ac:dyDescent="0.25">
      <c r="J235" s="20" t="s">
        <v>44</v>
      </c>
      <c r="K235" s="532">
        <v>383.82100000000003</v>
      </c>
      <c r="L235" s="532">
        <v>389.87400000000002</v>
      </c>
      <c r="M235" s="532">
        <v>415.92200000000003</v>
      </c>
      <c r="N235" s="532">
        <v>422.26400000000001</v>
      </c>
      <c r="O235" s="532">
        <v>392.75</v>
      </c>
      <c r="P235" s="532">
        <v>383.505</v>
      </c>
      <c r="Q235" s="532">
        <v>428.51300000000003</v>
      </c>
      <c r="R235" s="532">
        <v>459.96600000000001</v>
      </c>
      <c r="S235" s="532">
        <v>450.392</v>
      </c>
      <c r="T235" s="532">
        <v>453.423</v>
      </c>
      <c r="U235" s="532">
        <v>465.18399999999997</v>
      </c>
      <c r="V235" s="532">
        <v>495.97199999999998</v>
      </c>
      <c r="W235" s="532">
        <v>505.14299999999997</v>
      </c>
      <c r="X235" s="532">
        <v>520.44900000000007</v>
      </c>
      <c r="Y235" s="532">
        <v>510.81</v>
      </c>
      <c r="Z235" s="532">
        <v>546.46599999999989</v>
      </c>
      <c r="AA235" s="532">
        <v>544.88799999999992</v>
      </c>
      <c r="AB235" s="532">
        <v>559.14463999999998</v>
      </c>
      <c r="AC235" s="532">
        <v>530.41899999999998</v>
      </c>
      <c r="AD235" s="532">
        <v>593.24399999999991</v>
      </c>
      <c r="AE235" s="532">
        <v>616.4670000000001</v>
      </c>
      <c r="AF235" s="532">
        <v>620.72900000000004</v>
      </c>
      <c r="AG235" s="148"/>
      <c r="AH235" s="148"/>
      <c r="AI235" s="148"/>
      <c r="AK235" s="24" t="s">
        <v>34</v>
      </c>
      <c r="AL235" s="539">
        <f>'[15]2016. I. - Állományi'!D28+'[15]2016. I. - Állományi'!E28+'[15]2016. I. - Állományi'!J28</f>
        <v>854.53073700000004</v>
      </c>
      <c r="AM235" s="359">
        <f>'[15]2016. II. - Állományi'!D28+'[15]2016. II. - Állományi'!E28+'[15]2016. II. - Állományi'!J28</f>
        <v>871.05378599999995</v>
      </c>
      <c r="AN235" s="359">
        <f>'[15]2016. III. - Állományi'!D28+'[15]2016. III. - Állományi'!E28+'[15]2016. III. - Állományi'!J28</f>
        <v>935.49681799999996</v>
      </c>
      <c r="AO235" s="359">
        <f>'[15]2016. IV.- Állományi'!D28+'[15]2016. IV.- Állományi'!E28+'[15]2016. IV.- Állományi'!J28</f>
        <v>1150.6043989999998</v>
      </c>
      <c r="AP235" s="359">
        <f>'[15]2017. I. - Állományi'!D28+'[15]2017. I. - Állományi'!E28+'[15]2017. I. - Állományi'!J28</f>
        <v>1020.5628260000001</v>
      </c>
      <c r="AQ235" s="359">
        <f>'[15]2017. II. - Állományi'!D28+'[15]2017. II. - Állományi'!E28+'[15]2017. II. - Állományi'!J28</f>
        <v>938.10965300000009</v>
      </c>
      <c r="AR235" s="359">
        <f>'[15]2017. III. - Állományi'!D28+'[15]2017. III. - Állományi'!E28+'[15]2017. III. - Állományi'!J28</f>
        <v>1651</v>
      </c>
      <c r="AS235" s="359">
        <f>'[15]2017. IV. - Állományi'!D28+'[15]2017. IV. - Állományi'!E28+'[15]2017. IV. - Állományi'!J28</f>
        <v>1169.4155250000001</v>
      </c>
      <c r="AT235" s="359">
        <f>'[15]2018. I. - Állományi_R'!D29+'[15]2018. I. - Állományi_R'!E29+'[15]2018. I. - Állományi_R'!J29</f>
        <v>2070</v>
      </c>
      <c r="AU235" s="359">
        <f>'[15]2018. I. - Állományi_Új'!D29+'[15]2018. I. - Állományi_Új'!E29+'[15]2018. I. - Állományi_Új'!J29</f>
        <v>2070</v>
      </c>
      <c r="AV235" s="359">
        <f>'[15]2018. II. - Állományi_Új'!D29+'[15]2018. II. - Állományi_Új'!E29+'[15]2018. II. - Állományi_Új'!J29</f>
        <v>877</v>
      </c>
      <c r="AW235" s="360">
        <f>'[15]2018. III. - Állományi_Új'!D29+'[15]2018. III. - Állományi_Új'!E29+'[15]2018. III. - Állományi_Új'!J29</f>
        <v>868</v>
      </c>
      <c r="AX235" s="360">
        <f>'[15]2018. IV. - Állományi_Új'!D29+'[15]2018. IV. - Állományi_Új'!E29+'[15]2018. IV. - Állományi_Új'!J29</f>
        <v>3292</v>
      </c>
      <c r="AY235" s="80">
        <v>1255</v>
      </c>
      <c r="AZ235" s="80">
        <v>1318</v>
      </c>
      <c r="BA235" s="547">
        <v>1394</v>
      </c>
      <c r="BB235" s="80">
        <v>1920</v>
      </c>
      <c r="BC235" s="539">
        <f>'[15]2020. I. Állomány adatok'!E34+'[15]2020. I. Állomány adatok'!F34+'[15]2020. I. Állomány adatok'!L34</f>
        <v>1785</v>
      </c>
      <c r="BD235" s="359">
        <f>'[15]2020. II. Állományi adatok'!E34+'[15]2020. II. Állományi adatok'!F34+'[15]2020. II. Állományi adatok'!L34</f>
        <v>1724</v>
      </c>
      <c r="BE235" s="539">
        <f>'[15]2020. III. Állományi adatok'!E34+'[15]2020. III. Állományi adatok'!F34+'[15]2020. III. Állományi adatok'!L34</f>
        <v>1998</v>
      </c>
      <c r="BF235" s="443">
        <f>'[15]2020. IV. Állományi adatok'!E34+'[15]2020. IV. Állományi adatok'!F34+'[15]2020. IV. Állományi adatok'!L34</f>
        <v>2146</v>
      </c>
    </row>
    <row r="236" spans="10:58" ht="15.75" thickBot="1" x14ac:dyDescent="0.3">
      <c r="AK236" s="548" t="s">
        <v>35</v>
      </c>
      <c r="AL236" s="540">
        <f>'[15]2016. I. - Állományi'!D67+'[15]2016. I. - Állományi'!E67+'[15]2016. I. - Állományi'!J67</f>
        <v>128753.59782669001</v>
      </c>
      <c r="AM236" s="282">
        <f>'[15]2016. II. - Állományi'!D67+'[15]2016. II. - Állományi'!E67+'[15]2016. II. - Állományi'!J67</f>
        <v>121925.076407</v>
      </c>
      <c r="AN236" s="282">
        <f>'[15]2016. III. - Állományi'!D67+'[15]2016. III. - Állományi'!E67+'[15]2016. III. - Állományi'!J67</f>
        <v>144876.273208</v>
      </c>
      <c r="AO236" s="282">
        <f>'[15]2016. IV.- Állományi'!D67+'[15]2016. IV.- Állományi'!E67+'[15]2016. IV.- Állományi'!J67</f>
        <v>147431.09185314199</v>
      </c>
      <c r="AP236" s="282">
        <f>'[15]2017. I. - Állományi'!D67+'[15]2017. I. - Állományi'!E67+'[15]2017. I. - Állományi'!J67</f>
        <v>119589.67880773</v>
      </c>
      <c r="AQ236" s="282">
        <f>'[15]2017. II. - Állományi'!D67+'[15]2017. II. - Állományi'!E67+'[15]2017. II. - Állományi'!J67</f>
        <v>109296.2746743842</v>
      </c>
      <c r="AR236" s="282">
        <f>'[15]2017. III. - Állományi'!D67+'[15]2017. III. - Állományi'!E67+'[15]2017. III. - Állományi'!J67</f>
        <v>143007.40804518489</v>
      </c>
      <c r="AS236" s="282">
        <f>'[15]2017. IV. - Állományi'!D67+'[15]2017. IV. - Állományi'!E67+'[15]2017. IV. - Állományi'!J67</f>
        <v>162620.59846539001</v>
      </c>
      <c r="AT236" s="282">
        <f>'[15]2018. I. - Állományi_R'!D69+'[15]2018. I. - Állományi_R'!E69+'[15]2018. I. - Állományi_R'!J69</f>
        <v>145426.41200000001</v>
      </c>
      <c r="AU236" s="282">
        <f>'[15]2018. I. - Állományi_Új'!D69+'[15]2018. I. - Állományi_Új'!E69+'[15]2018. I. - Állományi_Új'!J69</f>
        <v>145426</v>
      </c>
      <c r="AV236" s="282">
        <f>'[15]2018. II. - Állományi_Új'!D69+'[15]2018. II. - Állományi_Új'!E69+'[15]2018. II. - Állományi_Új'!J69</f>
        <v>123862</v>
      </c>
      <c r="AW236" s="283">
        <f>'[15]2018. III. - Állományi_Új'!D69+'[15]2018. III. - Állományi_Új'!E69+'[15]2018. III. - Állományi_Új'!J69</f>
        <v>153451</v>
      </c>
      <c r="AX236" s="283">
        <f>'[15]2018. IV. - Állományi_Új'!D69+'[15]2018. IV. - Állományi_Új'!E69+'[15]2018. IV. - Állományi_Új'!J69</f>
        <v>173307</v>
      </c>
      <c r="AY236" s="282">
        <v>162847</v>
      </c>
      <c r="AZ236" s="282">
        <v>151002</v>
      </c>
      <c r="BA236" s="444">
        <v>164711</v>
      </c>
      <c r="BB236" s="282">
        <v>169133</v>
      </c>
      <c r="BC236" s="540">
        <f>'[15]2020. I. Állomány adatok'!E81+'[15]2020. I. Állomány adatok'!F81+'[15]2020. I. Állomány adatok'!L81</f>
        <v>172264</v>
      </c>
      <c r="BD236" s="282">
        <f>'[15]2020. II. Állományi adatok'!E81+'[15]2020. II. Állományi adatok'!F81+'[15]2020. II. Állományi adatok'!L81</f>
        <v>146419</v>
      </c>
      <c r="BE236" s="540">
        <f>'[15]2020. III. Állományi adatok'!E81+'[15]2020. III. Állományi adatok'!F81+'[15]2020. III. Állományi adatok'!L81</f>
        <v>157042</v>
      </c>
      <c r="BF236" s="445">
        <f>'[15]2020. IV. Állományi adatok'!E81+'[15]2020. IV. Állományi adatok'!F81+'[15]2020. IV. Állományi adatok'!L81</f>
        <v>151426</v>
      </c>
    </row>
    <row r="237" spans="10:58" ht="15.75" thickBot="1" x14ac:dyDescent="0.3">
      <c r="J237" s="33" t="s">
        <v>32</v>
      </c>
      <c r="K237" s="171" t="s">
        <v>0</v>
      </c>
      <c r="L237" s="94" t="s">
        <v>1</v>
      </c>
      <c r="M237" s="94" t="s">
        <v>2</v>
      </c>
      <c r="N237" s="94" t="s">
        <v>3</v>
      </c>
      <c r="O237" s="94" t="s">
        <v>4</v>
      </c>
      <c r="P237" s="94" t="s">
        <v>5</v>
      </c>
      <c r="Q237" s="94" t="s">
        <v>6</v>
      </c>
      <c r="R237" s="94" t="s">
        <v>7</v>
      </c>
      <c r="S237" s="94" t="s">
        <v>27</v>
      </c>
      <c r="T237" s="94" t="s">
        <v>9</v>
      </c>
      <c r="U237" s="94" t="s">
        <v>10</v>
      </c>
      <c r="V237" s="94" t="s">
        <v>11</v>
      </c>
      <c r="W237" s="73" t="s">
        <v>12</v>
      </c>
      <c r="X237" s="94" t="s">
        <v>13</v>
      </c>
      <c r="Y237" s="94" t="s">
        <v>14</v>
      </c>
      <c r="Z237" s="75" t="s">
        <v>15</v>
      </c>
      <c r="AA237" s="75" t="s">
        <v>16</v>
      </c>
      <c r="AB237" s="75" t="s">
        <v>17</v>
      </c>
      <c r="AC237" s="75" t="s">
        <v>18</v>
      </c>
      <c r="AD237" s="75" t="s">
        <v>19</v>
      </c>
      <c r="AE237" s="94" t="s">
        <v>20</v>
      </c>
      <c r="AF237" s="94" t="s">
        <v>202</v>
      </c>
      <c r="AG237" s="94" t="s">
        <v>21</v>
      </c>
      <c r="AH237" s="94" t="s">
        <v>22</v>
      </c>
      <c r="AI237" s="94" t="s">
        <v>203</v>
      </c>
      <c r="AK237" s="510" t="s">
        <v>387</v>
      </c>
      <c r="AL237" s="245">
        <f>AL235/AL239*100</f>
        <v>0.6593187838369875</v>
      </c>
      <c r="AM237" s="245">
        <f t="shared" ref="AM237:AX237" si="188">AM235/AM239*100</f>
        <v>0.70934954108973569</v>
      </c>
      <c r="AN237" s="245">
        <f t="shared" si="188"/>
        <v>0.64157839784345905</v>
      </c>
      <c r="AO237" s="245">
        <f t="shared" si="188"/>
        <v>0.77439175081662348</v>
      </c>
      <c r="AP237" s="245">
        <f t="shared" si="188"/>
        <v>0.84616597411292171</v>
      </c>
      <c r="AQ237" s="245">
        <f t="shared" si="188"/>
        <v>0.85101364580938355</v>
      </c>
      <c r="AR237" s="245">
        <f t="shared" si="188"/>
        <v>1.1413093938406267</v>
      </c>
      <c r="AS237" s="245">
        <f t="shared" si="188"/>
        <v>0.71397241901976571</v>
      </c>
      <c r="AT237" s="245">
        <f t="shared" si="188"/>
        <v>1.4034239693912012</v>
      </c>
      <c r="AU237" s="245">
        <f t="shared" si="188"/>
        <v>1.4034278895698866</v>
      </c>
      <c r="AV237" s="245">
        <f t="shared" si="188"/>
        <v>0.70306800599652075</v>
      </c>
      <c r="AW237" s="219">
        <f t="shared" si="188"/>
        <v>0.56247124462963083</v>
      </c>
      <c r="AX237" s="219">
        <f t="shared" si="188"/>
        <v>1.8641102157996365</v>
      </c>
      <c r="AY237" s="220">
        <f>AY235/AY239*100</f>
        <v>0.76476825389087277</v>
      </c>
      <c r="AZ237" s="220">
        <f>AZ235/AZ239*100</f>
        <v>0.86528361344537819</v>
      </c>
      <c r="BA237" s="549">
        <f>BA235/BA239*100</f>
        <v>0.83922819903073353</v>
      </c>
      <c r="BB237" s="220">
        <f t="shared" ref="BB237:BC237" si="189">BB235/BB239*100</f>
        <v>1.1224591208572781</v>
      </c>
      <c r="BC237" s="550">
        <f t="shared" si="189"/>
        <v>1.0255732581054759</v>
      </c>
      <c r="BD237" s="232">
        <f>BD235/BD239*100</f>
        <v>1.1637404399802893</v>
      </c>
      <c r="BE237" s="232">
        <f>BE235/BE239*100</f>
        <v>1.2562877263581489</v>
      </c>
      <c r="BF237" s="232">
        <f>BF235/BF239*100</f>
        <v>1.3973901492459564</v>
      </c>
    </row>
    <row r="238" spans="10:58" ht="15.75" thickBot="1" x14ac:dyDescent="0.3">
      <c r="J238" s="24" t="s">
        <v>53</v>
      </c>
      <c r="K238" s="4">
        <v>108687</v>
      </c>
      <c r="L238" s="5">
        <v>122266</v>
      </c>
      <c r="M238" s="5">
        <v>159079</v>
      </c>
      <c r="N238" s="5">
        <v>252637</v>
      </c>
      <c r="O238" s="5">
        <v>292254</v>
      </c>
      <c r="P238" s="5">
        <v>314296</v>
      </c>
      <c r="Q238" s="5">
        <v>329297</v>
      </c>
      <c r="R238" s="5">
        <v>305031</v>
      </c>
      <c r="S238" s="5">
        <v>296198</v>
      </c>
      <c r="T238" s="5">
        <v>317654</v>
      </c>
      <c r="U238" s="28">
        <v>330403</v>
      </c>
      <c r="V238" s="28">
        <v>336233</v>
      </c>
      <c r="W238" s="28">
        <v>309922</v>
      </c>
      <c r="X238" s="5">
        <v>334360</v>
      </c>
      <c r="Y238" s="5">
        <v>348750</v>
      </c>
      <c r="Z238" s="28">
        <v>357578</v>
      </c>
      <c r="AA238" s="28">
        <v>348857</v>
      </c>
      <c r="AB238" s="28">
        <v>340813.73</v>
      </c>
      <c r="AC238" s="28">
        <v>362948</v>
      </c>
      <c r="AD238" s="28">
        <v>373263</v>
      </c>
      <c r="AE238" s="5">
        <v>365757</v>
      </c>
      <c r="AF238" s="5">
        <v>362288</v>
      </c>
      <c r="AG238" s="5"/>
      <c r="AH238" s="5"/>
      <c r="AI238" s="5"/>
      <c r="AK238" s="290" t="s">
        <v>388</v>
      </c>
      <c r="AL238" s="365">
        <f>AL236/AL239*100</f>
        <v>99.34068121616302</v>
      </c>
      <c r="AM238" s="365">
        <f t="shared" ref="AM238:AX238" si="190">AM236/AM239*100</f>
        <v>99.29065045891025</v>
      </c>
      <c r="AN238" s="365">
        <f t="shared" si="190"/>
        <v>99.35842160215654</v>
      </c>
      <c r="AO238" s="365">
        <f t="shared" si="190"/>
        <v>99.225608249183367</v>
      </c>
      <c r="AP238" s="365">
        <f t="shared" si="190"/>
        <v>99.153834025887093</v>
      </c>
      <c r="AQ238" s="365">
        <f t="shared" si="190"/>
        <v>99.148986354190612</v>
      </c>
      <c r="AR238" s="365">
        <f t="shared" si="190"/>
        <v>98.858690606159371</v>
      </c>
      <c r="AS238" s="365">
        <f t="shared" si="190"/>
        <v>99.286027580980246</v>
      </c>
      <c r="AT238" s="365">
        <f t="shared" si="190"/>
        <v>98.596576030608801</v>
      </c>
      <c r="AU238" s="365">
        <f t="shared" si="190"/>
        <v>98.596572110430117</v>
      </c>
      <c r="AV238" s="365">
        <f t="shared" si="190"/>
        <v>99.296931994003472</v>
      </c>
      <c r="AW238" s="551">
        <f t="shared" si="190"/>
        <v>99.43752875537038</v>
      </c>
      <c r="AX238" s="551">
        <f t="shared" si="190"/>
        <v>98.135889784200359</v>
      </c>
      <c r="AY238" s="292">
        <f>AY236/AY239*100</f>
        <v>99.235231746109136</v>
      </c>
      <c r="AZ238" s="292">
        <f>AZ236/AZ239*100</f>
        <v>99.134716386554629</v>
      </c>
      <c r="BA238" s="552">
        <f>BA236/BA239*100</f>
        <v>99.160771800969272</v>
      </c>
      <c r="BB238" s="292">
        <f>BB236/BB239*100</f>
        <v>98.877540879142728</v>
      </c>
      <c r="BC238" s="553">
        <f t="shared" ref="BC238:BF238" si="191">BC236/BC239*100</f>
        <v>98.974426741894533</v>
      </c>
      <c r="BD238" s="512">
        <f t="shared" si="191"/>
        <v>98.836259560019712</v>
      </c>
      <c r="BE238" s="512">
        <f t="shared" si="191"/>
        <v>98.743712273641847</v>
      </c>
      <c r="BF238" s="512">
        <f t="shared" si="191"/>
        <v>98.602609850754035</v>
      </c>
    </row>
    <row r="239" spans="10:58" x14ac:dyDescent="0.25">
      <c r="J239" s="25" t="s">
        <v>54</v>
      </c>
      <c r="K239" s="4">
        <v>332549</v>
      </c>
      <c r="L239" s="5">
        <v>336064</v>
      </c>
      <c r="M239" s="5">
        <v>349695</v>
      </c>
      <c r="N239" s="5">
        <v>310613</v>
      </c>
      <c r="O239" s="5">
        <v>312786</v>
      </c>
      <c r="P239" s="5">
        <v>308184</v>
      </c>
      <c r="Q239" s="5">
        <v>315427</v>
      </c>
      <c r="R239" s="5">
        <v>305628</v>
      </c>
      <c r="S239" s="5">
        <v>284170</v>
      </c>
      <c r="T239" s="5">
        <v>301467</v>
      </c>
      <c r="U239" s="28">
        <v>314305</v>
      </c>
      <c r="V239" s="28">
        <v>331171</v>
      </c>
      <c r="W239" s="28">
        <v>314528</v>
      </c>
      <c r="X239" s="5">
        <v>350202</v>
      </c>
      <c r="Y239" s="5">
        <v>373863</v>
      </c>
      <c r="Z239" s="28">
        <v>388939</v>
      </c>
      <c r="AA239" s="28">
        <v>380000</v>
      </c>
      <c r="AB239" s="28">
        <v>392318.33999999997</v>
      </c>
      <c r="AC239" s="28">
        <v>412681</v>
      </c>
      <c r="AD239" s="28">
        <v>439251</v>
      </c>
      <c r="AE239" s="5">
        <v>449166</v>
      </c>
      <c r="AF239" s="5">
        <v>452181</v>
      </c>
      <c r="AG239" s="5"/>
      <c r="AH239" s="5"/>
      <c r="AI239" s="5"/>
      <c r="AK239" s="345" t="s">
        <v>395</v>
      </c>
      <c r="AL239" s="370">
        <f>AL235+AL236</f>
        <v>129608.12856369</v>
      </c>
      <c r="AM239" s="370">
        <f t="shared" ref="AM239:AX239" si="192">AM235+AM236</f>
        <v>122796.130193</v>
      </c>
      <c r="AN239" s="370">
        <f t="shared" si="192"/>
        <v>145811.77002600001</v>
      </c>
      <c r="AO239" s="370">
        <f t="shared" si="192"/>
        <v>148581.69625214199</v>
      </c>
      <c r="AP239" s="370">
        <f t="shared" si="192"/>
        <v>120610.24163372999</v>
      </c>
      <c r="AQ239" s="370">
        <f t="shared" si="192"/>
        <v>110234.38432738421</v>
      </c>
      <c r="AR239" s="370">
        <f t="shared" si="192"/>
        <v>144658.40804518489</v>
      </c>
      <c r="AS239" s="370">
        <f t="shared" si="192"/>
        <v>163790.01399039</v>
      </c>
      <c r="AT239" s="370">
        <f t="shared" si="192"/>
        <v>147496.41200000001</v>
      </c>
      <c r="AU239" s="370">
        <f t="shared" si="192"/>
        <v>147496</v>
      </c>
      <c r="AV239" s="370">
        <f t="shared" si="192"/>
        <v>124739</v>
      </c>
      <c r="AW239" s="554">
        <f t="shared" si="192"/>
        <v>154319</v>
      </c>
      <c r="AX239" s="554">
        <f t="shared" si="192"/>
        <v>176599</v>
      </c>
      <c r="AY239" s="371">
        <f>AY235+AY236</f>
        <v>164102</v>
      </c>
      <c r="AZ239" s="371">
        <f>AZ235+AZ236</f>
        <v>152320</v>
      </c>
      <c r="BA239" s="555">
        <f>BA235+BA236</f>
        <v>166105</v>
      </c>
      <c r="BB239" s="371">
        <f>BB235+BB236</f>
        <v>171053</v>
      </c>
      <c r="BC239" s="555">
        <f t="shared" ref="BC239:BF239" si="193">BC235+BC236</f>
        <v>174049</v>
      </c>
      <c r="BD239" s="371">
        <f t="shared" si="193"/>
        <v>148143</v>
      </c>
      <c r="BE239" s="544">
        <f t="shared" si="193"/>
        <v>159040</v>
      </c>
      <c r="BF239" s="544">
        <f t="shared" si="193"/>
        <v>153572</v>
      </c>
    </row>
    <row r="240" spans="10:58" ht="15.75" thickBot="1" x14ac:dyDescent="0.3">
      <c r="J240" s="62" t="s">
        <v>36</v>
      </c>
      <c r="K240" s="30">
        <f t="shared" ref="K240:S240" si="194">K238+K239</f>
        <v>441236</v>
      </c>
      <c r="L240" s="148">
        <f t="shared" si="194"/>
        <v>458330</v>
      </c>
      <c r="M240" s="148">
        <f t="shared" si="194"/>
        <v>508774</v>
      </c>
      <c r="N240" s="148">
        <f t="shared" si="194"/>
        <v>563250</v>
      </c>
      <c r="O240" s="148">
        <f t="shared" si="194"/>
        <v>605040</v>
      </c>
      <c r="P240" s="148">
        <f t="shared" si="194"/>
        <v>622480</v>
      </c>
      <c r="Q240" s="148">
        <f t="shared" si="194"/>
        <v>644724</v>
      </c>
      <c r="R240" s="148">
        <f t="shared" si="194"/>
        <v>610659</v>
      </c>
      <c r="S240" s="148">
        <f t="shared" si="194"/>
        <v>580368</v>
      </c>
      <c r="T240" s="148">
        <v>619121</v>
      </c>
      <c r="U240" s="148">
        <v>644708</v>
      </c>
      <c r="V240" s="208">
        <v>667404</v>
      </c>
      <c r="W240" s="208">
        <v>624450</v>
      </c>
      <c r="X240" s="148">
        <v>684562</v>
      </c>
      <c r="Y240" s="148">
        <v>722613</v>
      </c>
      <c r="Z240" s="208">
        <v>746517</v>
      </c>
      <c r="AA240" s="208">
        <v>728857</v>
      </c>
      <c r="AB240" s="208">
        <f>AB238+AB239</f>
        <v>733132.07</v>
      </c>
      <c r="AC240" s="208">
        <v>775629</v>
      </c>
      <c r="AD240" s="208">
        <f>AD238+AD239</f>
        <v>812514</v>
      </c>
      <c r="AE240" s="208">
        <f>AE238+AE239</f>
        <v>814923</v>
      </c>
      <c r="AF240" s="148">
        <v>814469</v>
      </c>
      <c r="AG240" s="148"/>
      <c r="AH240" s="148"/>
      <c r="AI240" s="148"/>
      <c r="AK240" s="380" t="s">
        <v>396</v>
      </c>
      <c r="AL240" s="530">
        <f>AL239/AL241*100</f>
        <v>33.76785755956292</v>
      </c>
      <c r="AM240" s="530">
        <f t="shared" ref="AM240:AW240" si="195">AM239/AM241*100</f>
        <v>31.496362977013089</v>
      </c>
      <c r="AN240" s="530">
        <f t="shared" si="195"/>
        <v>35.057479533662566</v>
      </c>
      <c r="AO240" s="530">
        <f t="shared" si="195"/>
        <v>35.186920090782543</v>
      </c>
      <c r="AP240" s="530">
        <f t="shared" si="195"/>
        <v>30.709164006042013</v>
      </c>
      <c r="AQ240" s="530">
        <f t="shared" si="195"/>
        <v>28.743923632647345</v>
      </c>
      <c r="AR240" s="530">
        <f t="shared" si="195"/>
        <v>33.758230916024687</v>
      </c>
      <c r="AS240" s="530">
        <f t="shared" si="195"/>
        <v>35.609156761671514</v>
      </c>
      <c r="AT240" s="530">
        <f t="shared" si="195"/>
        <v>32.748452903248726</v>
      </c>
      <c r="AU240" s="530">
        <f t="shared" si="195"/>
        <v>32.529448219433064</v>
      </c>
      <c r="AV240" s="530">
        <f t="shared" si="195"/>
        <v>26.814980738804429</v>
      </c>
      <c r="AW240" s="531">
        <f t="shared" si="195"/>
        <v>31.114458074246127</v>
      </c>
      <c r="AX240" s="531">
        <f>AX239/AX241*100</f>
        <v>34.960199389083883</v>
      </c>
      <c r="AY240" s="223">
        <f>AY239/AY241*100</f>
        <v>31.530851245751261</v>
      </c>
      <c r="AZ240" s="223">
        <f>AZ239/AZ241*100</f>
        <v>29.819306591491944</v>
      </c>
      <c r="BA240" s="450">
        <f>BA239/BA241*100</f>
        <v>30.396218611953902</v>
      </c>
      <c r="BB240" s="223">
        <f>BB239/BB241*100</f>
        <v>31.392322825975246</v>
      </c>
      <c r="BC240" s="556">
        <f t="shared" ref="BC240:BF240" si="196">BC239/BC241*100</f>
        <v>31.127723946347764</v>
      </c>
      <c r="BD240" s="521">
        <f t="shared" si="196"/>
        <v>27.929429375644538</v>
      </c>
      <c r="BE240" s="545">
        <f t="shared" si="196"/>
        <v>26.80853072260318</v>
      </c>
      <c r="BF240" s="545">
        <f t="shared" si="196"/>
        <v>24.911633550538795</v>
      </c>
    </row>
    <row r="241" spans="10:58" ht="15.75" thickBot="1" x14ac:dyDescent="0.3">
      <c r="AK241" s="345" t="s">
        <v>44</v>
      </c>
      <c r="AL241" s="387">
        <v>383821</v>
      </c>
      <c r="AM241" s="388">
        <v>389874</v>
      </c>
      <c r="AN241" s="388">
        <v>415922</v>
      </c>
      <c r="AO241" s="388">
        <v>422264</v>
      </c>
      <c r="AP241" s="388">
        <v>392750</v>
      </c>
      <c r="AQ241" s="388">
        <v>383505</v>
      </c>
      <c r="AR241" s="388">
        <v>428513</v>
      </c>
      <c r="AS241" s="388">
        <v>459966</v>
      </c>
      <c r="AT241" s="388">
        <v>450392</v>
      </c>
      <c r="AU241" s="388">
        <v>453423</v>
      </c>
      <c r="AV241" s="388">
        <v>465184</v>
      </c>
      <c r="AW241" s="389">
        <v>495972</v>
      </c>
      <c r="AX241" s="389">
        <v>505143</v>
      </c>
      <c r="AY241" s="388">
        <v>520449</v>
      </c>
      <c r="AZ241" s="304">
        <v>510810</v>
      </c>
      <c r="BA241" s="454">
        <v>546466</v>
      </c>
      <c r="BB241" s="304">
        <v>544888</v>
      </c>
      <c r="BC241" s="453">
        <v>559144.64</v>
      </c>
      <c r="BD241" s="304">
        <v>530419</v>
      </c>
      <c r="BE241" s="453">
        <v>593244</v>
      </c>
      <c r="BF241" s="455">
        <v>616467</v>
      </c>
    </row>
    <row r="242" spans="10:58" x14ac:dyDescent="0.25">
      <c r="AK242" s="25" t="s">
        <v>397</v>
      </c>
      <c r="AL242" s="398">
        <v>0</v>
      </c>
      <c r="AM242" s="232">
        <f t="shared" ref="AM242:AX242" si="197">AM239/AL239*100-100</f>
        <v>-5.2558419338201787</v>
      </c>
      <c r="AN242" s="232">
        <f t="shared" si="197"/>
        <v>18.742968362949284</v>
      </c>
      <c r="AO242" s="232">
        <f t="shared" si="197"/>
        <v>1.8996588722899759</v>
      </c>
      <c r="AP242" s="232">
        <f t="shared" si="197"/>
        <v>-18.825639580089771</v>
      </c>
      <c r="AQ242" s="232">
        <f t="shared" si="197"/>
        <v>-8.6027995349310942</v>
      </c>
      <c r="AR242" s="232">
        <f t="shared" si="197"/>
        <v>31.22802737806839</v>
      </c>
      <c r="AS242" s="232">
        <f t="shared" si="197"/>
        <v>13.225367404312394</v>
      </c>
      <c r="AT242" s="232">
        <f t="shared" si="197"/>
        <v>-9.9478604302127849</v>
      </c>
      <c r="AU242" s="232">
        <f t="shared" si="197"/>
        <v>-2.7932882869663445E-4</v>
      </c>
      <c r="AV242" s="232">
        <f t="shared" si="197"/>
        <v>-15.42889298692846</v>
      </c>
      <c r="AW242" s="399">
        <f t="shared" si="197"/>
        <v>23.713513816849584</v>
      </c>
      <c r="AX242" s="399">
        <f t="shared" si="197"/>
        <v>14.437625956622327</v>
      </c>
      <c r="AY242" s="309">
        <f>AY239/AW239*100-100</f>
        <v>6.3394656523175996</v>
      </c>
      <c r="AZ242" s="309">
        <f>AZ239/AY239*100-100</f>
        <v>-7.1796809301531965</v>
      </c>
      <c r="BA242" s="557">
        <f>BA239/AZ239*100-100</f>
        <v>9.0500262605041968</v>
      </c>
      <c r="BB242" s="309">
        <f>BB239/BA239*100-100</f>
        <v>2.9788386863730807</v>
      </c>
      <c r="BC242" s="557">
        <f t="shared" ref="BC242:BD242" si="198">BC239/BB239*100-100</f>
        <v>1.7515039198377167</v>
      </c>
      <c r="BD242" s="309">
        <f t="shared" si="198"/>
        <v>-14.884314187384021</v>
      </c>
      <c r="BE242" s="458">
        <f>BE239/BD239*100-100</f>
        <v>7.355730611638748</v>
      </c>
      <c r="BF242" s="458">
        <f>BF239/BE239*100-100</f>
        <v>-3.438128772635821</v>
      </c>
    </row>
    <row r="243" spans="10:58" x14ac:dyDescent="0.25">
      <c r="AK243" s="401" t="s">
        <v>326</v>
      </c>
      <c r="AL243" s="13">
        <f>AL235/AL241*100</f>
        <v>0.22263782778951649</v>
      </c>
      <c r="AM243" s="13">
        <f t="shared" ref="AM243:AX243" si="199">AM235/AM241*100</f>
        <v>0.22341930623739978</v>
      </c>
      <c r="AN243" s="13">
        <f t="shared" si="199"/>
        <v>0.22492121551637087</v>
      </c>
      <c r="AO243" s="13">
        <f t="shared" si="199"/>
        <v>0.27248460654945716</v>
      </c>
      <c r="AP243" s="13">
        <f t="shared" si="199"/>
        <v>0.25985049675366012</v>
      </c>
      <c r="AQ243" s="13">
        <f t="shared" si="199"/>
        <v>0.24461471245485722</v>
      </c>
      <c r="AR243" s="13">
        <f t="shared" si="199"/>
        <v>0.38528586063900044</v>
      </c>
      <c r="AS243" s="13">
        <f t="shared" si="199"/>
        <v>0.25423955792384656</v>
      </c>
      <c r="AT243" s="13">
        <f t="shared" si="199"/>
        <v>0.45959963764898132</v>
      </c>
      <c r="AU243" s="13">
        <f t="shared" si="199"/>
        <v>0.45652734863471855</v>
      </c>
      <c r="AV243" s="13">
        <f t="shared" si="199"/>
        <v>0.1885275503886634</v>
      </c>
      <c r="AW243" s="558">
        <f t="shared" si="199"/>
        <v>0.17500987958997685</v>
      </c>
      <c r="AX243" s="558">
        <f t="shared" si="199"/>
        <v>0.65169664827583484</v>
      </c>
      <c r="AY243" s="14">
        <f>AY235/AY241*100</f>
        <v>0.24113794050906043</v>
      </c>
      <c r="AZ243" s="14">
        <f>AZ235/AZ241*100</f>
        <v>0.25802157357921729</v>
      </c>
      <c r="BA243" s="459">
        <f>BA235/BA241*100</f>
        <v>0.25509363803054536</v>
      </c>
      <c r="BB243" s="14">
        <f>BB235/BB241*100</f>
        <v>0.3523659908091204</v>
      </c>
      <c r="BC243" s="459">
        <f t="shared" ref="BC243:BF243" si="200">BC235/BC241*100</f>
        <v>0.31923761265063721</v>
      </c>
      <c r="BD243" s="14">
        <f t="shared" si="200"/>
        <v>0.32502606430010988</v>
      </c>
      <c r="BE243" s="458">
        <f t="shared" si="200"/>
        <v>0.3367922810850173</v>
      </c>
      <c r="BF243" s="458">
        <f t="shared" si="200"/>
        <v>0.3481127132514798</v>
      </c>
    </row>
    <row r="244" spans="10:58" ht="15.75" thickBot="1" x14ac:dyDescent="0.3">
      <c r="AK244" s="401" t="s">
        <v>327</v>
      </c>
      <c r="AL244" s="402">
        <f>AL236/AL241*100</f>
        <v>33.545219731773408</v>
      </c>
      <c r="AM244" s="402">
        <f t="shared" ref="AM244:AX244" si="201">AM236/AM241*100</f>
        <v>31.272943670775689</v>
      </c>
      <c r="AN244" s="402">
        <f t="shared" si="201"/>
        <v>34.832558318146191</v>
      </c>
      <c r="AO244" s="402">
        <f t="shared" si="201"/>
        <v>34.914435484233088</v>
      </c>
      <c r="AP244" s="402">
        <f t="shared" si="201"/>
        <v>30.449313509288352</v>
      </c>
      <c r="AQ244" s="402">
        <f t="shared" si="201"/>
        <v>28.49930892019249</v>
      </c>
      <c r="AR244" s="402">
        <f t="shared" si="201"/>
        <v>33.372945055385692</v>
      </c>
      <c r="AS244" s="402">
        <f t="shared" si="201"/>
        <v>35.354917203747668</v>
      </c>
      <c r="AT244" s="402">
        <f t="shared" si="201"/>
        <v>32.288853265599748</v>
      </c>
      <c r="AU244" s="402">
        <f t="shared" si="201"/>
        <v>32.072920870798349</v>
      </c>
      <c r="AV244" s="402">
        <f t="shared" si="201"/>
        <v>26.626453188415766</v>
      </c>
      <c r="AW244" s="559">
        <f t="shared" si="201"/>
        <v>30.939448194656151</v>
      </c>
      <c r="AX244" s="559">
        <f t="shared" si="201"/>
        <v>34.308502740808052</v>
      </c>
      <c r="AY244" s="14">
        <f>AY236/AY241*100</f>
        <v>31.289713305242206</v>
      </c>
      <c r="AZ244" s="14">
        <f>AZ236/AZ241*100</f>
        <v>29.561285017912724</v>
      </c>
      <c r="BA244" s="459">
        <f>BA236/BA241*100</f>
        <v>30.141124973923354</v>
      </c>
      <c r="BB244" s="481">
        <f>BB236/BB241*100</f>
        <v>31.039956835166127</v>
      </c>
      <c r="BC244" s="461">
        <f t="shared" ref="BC244:BF244" si="202">BC236/BC241*100</f>
        <v>30.808486333697125</v>
      </c>
      <c r="BD244" s="481">
        <f t="shared" si="202"/>
        <v>27.604403311344427</v>
      </c>
      <c r="BE244" s="460">
        <f t="shared" si="202"/>
        <v>26.471738441518163</v>
      </c>
      <c r="BF244" s="460">
        <f t="shared" si="202"/>
        <v>24.563520837287317</v>
      </c>
    </row>
    <row r="245" spans="10:58" ht="15.75" thickBot="1" x14ac:dyDescent="0.3">
      <c r="J245" s="33" t="s">
        <v>398</v>
      </c>
      <c r="K245" s="171" t="s">
        <v>0</v>
      </c>
      <c r="L245" s="94" t="s">
        <v>1</v>
      </c>
      <c r="M245" s="94" t="s">
        <v>2</v>
      </c>
      <c r="N245" s="94" t="s">
        <v>3</v>
      </c>
      <c r="O245" s="94" t="s">
        <v>4</v>
      </c>
      <c r="P245" s="94" t="s">
        <v>5</v>
      </c>
      <c r="Q245" s="94" t="s">
        <v>6</v>
      </c>
      <c r="R245" s="94" t="s">
        <v>7</v>
      </c>
      <c r="S245" s="94" t="s">
        <v>27</v>
      </c>
      <c r="T245" s="94" t="s">
        <v>9</v>
      </c>
      <c r="U245" s="94" t="s">
        <v>10</v>
      </c>
      <c r="V245" s="94" t="s">
        <v>11</v>
      </c>
      <c r="W245" s="73" t="s">
        <v>12</v>
      </c>
      <c r="X245" s="94" t="s">
        <v>13</v>
      </c>
      <c r="Y245" s="94" t="s">
        <v>14</v>
      </c>
      <c r="Z245" s="73" t="s">
        <v>15</v>
      </c>
      <c r="AA245" s="75" t="s">
        <v>16</v>
      </c>
      <c r="AB245" s="75" t="s">
        <v>17</v>
      </c>
      <c r="AC245" s="75" t="s">
        <v>18</v>
      </c>
      <c r="AD245" s="94" t="s">
        <v>19</v>
      </c>
      <c r="AE245" s="94" t="s">
        <v>203</v>
      </c>
      <c r="AF245" s="94" t="s">
        <v>202</v>
      </c>
      <c r="AG245" s="94" t="s">
        <v>21</v>
      </c>
      <c r="AH245" s="94" t="s">
        <v>22</v>
      </c>
      <c r="AI245" s="94" t="s">
        <v>203</v>
      </c>
      <c r="AK245" s="325" t="s">
        <v>26</v>
      </c>
      <c r="AL245" s="406">
        <v>825056</v>
      </c>
      <c r="AM245" s="407">
        <v>848204</v>
      </c>
      <c r="AN245" s="407">
        <v>924696</v>
      </c>
      <c r="AO245" s="407">
        <v>985514</v>
      </c>
      <c r="AP245" s="407">
        <v>997791</v>
      </c>
      <c r="AQ245" s="407">
        <v>1005984</v>
      </c>
      <c r="AR245" s="407">
        <v>1073238</v>
      </c>
      <c r="AS245" s="407">
        <v>1070624</v>
      </c>
      <c r="AT245" s="407">
        <v>1030760</v>
      </c>
      <c r="AU245" s="407">
        <v>1072544</v>
      </c>
      <c r="AV245" s="408">
        <v>1109892</v>
      </c>
      <c r="AW245" s="409">
        <v>1163376</v>
      </c>
      <c r="AX245" s="328">
        <v>1129593</v>
      </c>
      <c r="AY245" s="410">
        <v>1205011</v>
      </c>
      <c r="AZ245" s="329">
        <v>1233423</v>
      </c>
      <c r="BA245" s="560">
        <v>1292983</v>
      </c>
      <c r="BB245" s="329">
        <v>1269580</v>
      </c>
      <c r="BC245" s="482">
        <v>1292276.71</v>
      </c>
      <c r="BD245" s="465">
        <v>1306049</v>
      </c>
      <c r="BE245" s="482">
        <v>1405757</v>
      </c>
      <c r="BF245" s="467">
        <v>1431391</v>
      </c>
    </row>
    <row r="246" spans="10:58" ht="15.75" thickBot="1" x14ac:dyDescent="0.3">
      <c r="J246" s="24" t="s">
        <v>399</v>
      </c>
      <c r="K246" s="561">
        <v>108.687</v>
      </c>
      <c r="L246" s="562">
        <v>122.26600000000001</v>
      </c>
      <c r="M246" s="562">
        <v>159.07900000000001</v>
      </c>
      <c r="N246" s="562">
        <v>252.637</v>
      </c>
      <c r="O246" s="562">
        <v>292.25400000000002</v>
      </c>
      <c r="P246" s="562">
        <v>314.29599999999999</v>
      </c>
      <c r="Q246" s="562">
        <v>329.29700000000003</v>
      </c>
      <c r="R246" s="562">
        <v>305.03100000000001</v>
      </c>
      <c r="S246" s="562">
        <v>296.19799999999998</v>
      </c>
      <c r="T246" s="562">
        <v>317.654</v>
      </c>
      <c r="U246" s="563">
        <v>330.40300000000002</v>
      </c>
      <c r="V246" s="563">
        <v>336.233</v>
      </c>
      <c r="W246" s="563">
        <v>309.92200000000003</v>
      </c>
      <c r="X246" s="562">
        <v>334.36</v>
      </c>
      <c r="Y246" s="562">
        <v>348.75</v>
      </c>
      <c r="Z246" s="563">
        <v>357.57799999999997</v>
      </c>
      <c r="AA246" s="563">
        <v>348.85700000000003</v>
      </c>
      <c r="AB246" s="563">
        <v>340.81373000000002</v>
      </c>
      <c r="AC246" s="563">
        <v>362.94799999999998</v>
      </c>
      <c r="AD246" s="562">
        <v>373.26299999999998</v>
      </c>
      <c r="AE246" s="562">
        <v>365.75700000000001</v>
      </c>
      <c r="AF246" s="562">
        <v>362.28800000000001</v>
      </c>
      <c r="AG246" s="562"/>
      <c r="AH246" s="562"/>
      <c r="AI246" s="562"/>
      <c r="AK246" s="22" t="s">
        <v>400</v>
      </c>
      <c r="AL246" s="18">
        <f>AL239/AL245*100</f>
        <v>15.709009880988683</v>
      </c>
      <c r="AM246" s="18">
        <f t="shared" ref="AM246:AW246" si="203">AM239/AM245*100</f>
        <v>14.477193009346809</v>
      </c>
      <c r="AN246" s="18">
        <f t="shared" si="203"/>
        <v>15.768616932051183</v>
      </c>
      <c r="AO246" s="18">
        <f t="shared" si="203"/>
        <v>15.076568800863507</v>
      </c>
      <c r="AP246" s="18">
        <f t="shared" si="203"/>
        <v>12.087725949996543</v>
      </c>
      <c r="AQ246" s="18">
        <f t="shared" si="203"/>
        <v>10.957866559247881</v>
      </c>
      <c r="AR246" s="18">
        <f t="shared" si="203"/>
        <v>13.478688608229012</v>
      </c>
      <c r="AS246" s="18">
        <f t="shared" si="203"/>
        <v>15.298556168214986</v>
      </c>
      <c r="AT246" s="18">
        <f t="shared" si="203"/>
        <v>14.309481547595951</v>
      </c>
      <c r="AU246" s="18">
        <f t="shared" si="203"/>
        <v>13.751976608885045</v>
      </c>
      <c r="AV246" s="18">
        <f t="shared" si="203"/>
        <v>11.23884125662677</v>
      </c>
      <c r="AW246" s="200">
        <f t="shared" si="203"/>
        <v>13.26475705189036</v>
      </c>
      <c r="AX246" s="200"/>
      <c r="AY246" s="11">
        <f>AY239/AY245*100</f>
        <v>13.618298920092844</v>
      </c>
      <c r="AZ246" s="11">
        <f>AZ239/AZ245*100</f>
        <v>12.349372437517381</v>
      </c>
      <c r="BA246" s="170">
        <f>BA239/BA245*100</f>
        <v>12.846649955954565</v>
      </c>
      <c r="BB246" s="10">
        <f>BB239/BB245*100</f>
        <v>13.473195860048204</v>
      </c>
      <c r="BC246" s="564">
        <f t="shared" ref="BC246:BF246" si="204">BC239/BC245*100</f>
        <v>13.468400277832139</v>
      </c>
      <c r="BD246" s="10">
        <f t="shared" si="204"/>
        <v>11.342836294809766</v>
      </c>
      <c r="BE246" s="546">
        <f t="shared" si="204"/>
        <v>11.313477364864625</v>
      </c>
      <c r="BF246" s="546">
        <f t="shared" si="204"/>
        <v>10.72886444025427</v>
      </c>
    </row>
    <row r="247" spans="10:58" ht="15.75" thickBot="1" x14ac:dyDescent="0.3">
      <c r="J247" s="565" t="s">
        <v>401</v>
      </c>
      <c r="K247" s="566">
        <v>2.7850000000000001</v>
      </c>
      <c r="L247" s="567">
        <v>2.9780000000000002</v>
      </c>
      <c r="M247" s="567">
        <v>3.1360000000000001</v>
      </c>
      <c r="N247" s="567">
        <v>3.6110000000000002</v>
      </c>
      <c r="O247" s="567">
        <v>3.956</v>
      </c>
      <c r="P247" s="567">
        <v>4.8659999999999997</v>
      </c>
      <c r="Q247" s="567">
        <v>6.492</v>
      </c>
      <c r="R247" s="567">
        <v>4.1269999999999998</v>
      </c>
      <c r="S247" s="567">
        <v>8.2780000000000005</v>
      </c>
      <c r="T247" s="567">
        <v>8.5220000000000002</v>
      </c>
      <c r="U247" s="568">
        <v>4.0369999999999999</v>
      </c>
      <c r="V247" s="568">
        <v>4.0789999999999997</v>
      </c>
      <c r="W247" s="568">
        <v>7.4290000000000003</v>
      </c>
      <c r="X247" s="567">
        <v>4.9889999999999999</v>
      </c>
      <c r="Y247" s="567">
        <v>4.726</v>
      </c>
      <c r="Z247" s="568">
        <v>5.0359999999999996</v>
      </c>
      <c r="AA247" s="568">
        <v>5.6319999999999997</v>
      </c>
      <c r="AB247" s="568">
        <v>5.5838000000000001</v>
      </c>
      <c r="AC247" s="568">
        <v>5.4050000000000002</v>
      </c>
      <c r="AD247" s="567">
        <v>6.0309999999999997</v>
      </c>
      <c r="AE247" s="567">
        <v>6.1470000000000002</v>
      </c>
      <c r="AF247" s="567">
        <v>6.0640000000000001</v>
      </c>
      <c r="AG247" s="567"/>
      <c r="AH247" s="567"/>
      <c r="AI247" s="567"/>
      <c r="AX247" s="126"/>
    </row>
    <row r="248" spans="10:58" ht="15.75" thickBot="1" x14ac:dyDescent="0.3">
      <c r="J248" s="569" t="s">
        <v>402</v>
      </c>
      <c r="K248" s="570">
        <f>K246+K247</f>
        <v>111.47199999999999</v>
      </c>
      <c r="L248" s="571">
        <f t="shared" ref="L248:Z248" si="205">L246+L247</f>
        <v>125.244</v>
      </c>
      <c r="M248" s="571">
        <f t="shared" si="205"/>
        <v>162.215</v>
      </c>
      <c r="N248" s="571">
        <f t="shared" si="205"/>
        <v>256.24799999999999</v>
      </c>
      <c r="O248" s="571">
        <f t="shared" si="205"/>
        <v>296.21000000000004</v>
      </c>
      <c r="P248" s="571">
        <f t="shared" si="205"/>
        <v>319.16199999999998</v>
      </c>
      <c r="Q248" s="571">
        <f t="shared" si="205"/>
        <v>335.78900000000004</v>
      </c>
      <c r="R248" s="571">
        <f t="shared" si="205"/>
        <v>309.15800000000002</v>
      </c>
      <c r="S248" s="571">
        <f t="shared" si="205"/>
        <v>304.476</v>
      </c>
      <c r="T248" s="571">
        <f t="shared" si="205"/>
        <v>326.17599999999999</v>
      </c>
      <c r="U248" s="571">
        <f t="shared" si="205"/>
        <v>334.44</v>
      </c>
      <c r="V248" s="571">
        <f t="shared" si="205"/>
        <v>340.31200000000001</v>
      </c>
      <c r="W248" s="571">
        <f t="shared" si="205"/>
        <v>317.351</v>
      </c>
      <c r="X248" s="571">
        <f t="shared" si="205"/>
        <v>339.34899999999999</v>
      </c>
      <c r="Y248" s="571">
        <f t="shared" si="205"/>
        <v>353.476</v>
      </c>
      <c r="Z248" s="572">
        <f t="shared" si="205"/>
        <v>362.61399999999998</v>
      </c>
      <c r="AA248" s="572">
        <f>AA246+AA247</f>
        <v>354.48900000000003</v>
      </c>
      <c r="AB248" s="572">
        <f>AB246+AB247</f>
        <v>346.39753000000002</v>
      </c>
      <c r="AC248" s="572">
        <f>AC246+AC247</f>
        <v>368.35299999999995</v>
      </c>
      <c r="AD248" s="571">
        <v>379.29399999999998</v>
      </c>
      <c r="AE248" s="571">
        <v>371.904</v>
      </c>
      <c r="AF248" s="571">
        <v>368.35200000000003</v>
      </c>
      <c r="AG248" s="571"/>
      <c r="AH248" s="571"/>
      <c r="AI248" s="571"/>
      <c r="AJ248" s="573">
        <f>AD248/AC248*100-100</f>
        <v>2.9702486473573089</v>
      </c>
    </row>
    <row r="249" spans="10:58" ht="15.75" thickBot="1" x14ac:dyDescent="0.3">
      <c r="J249" s="574" t="s">
        <v>26</v>
      </c>
      <c r="K249" s="575">
        <v>825.05600000000004</v>
      </c>
      <c r="L249" s="576">
        <v>848.20399999999995</v>
      </c>
      <c r="M249" s="576">
        <v>924.69600000000003</v>
      </c>
      <c r="N249" s="576">
        <v>985.51400000000001</v>
      </c>
      <c r="O249" s="576">
        <v>997.79100000000005</v>
      </c>
      <c r="P249" s="576">
        <v>1005.984</v>
      </c>
      <c r="Q249" s="576">
        <v>1073.2380000000001</v>
      </c>
      <c r="R249" s="576">
        <v>1070.624</v>
      </c>
      <c r="S249" s="576">
        <v>1030.76</v>
      </c>
      <c r="T249" s="576">
        <v>1072.5440000000001</v>
      </c>
      <c r="U249" s="577">
        <v>1109.8920000000001</v>
      </c>
      <c r="V249" s="577">
        <v>1163.376</v>
      </c>
      <c r="W249" s="577">
        <v>1129.5930000000001</v>
      </c>
      <c r="X249" s="576">
        <v>1205.011</v>
      </c>
      <c r="Y249" s="576">
        <v>1233.423</v>
      </c>
      <c r="Z249" s="577">
        <v>1292.9829999999999</v>
      </c>
      <c r="AA249" s="577">
        <v>1273.7449999999999</v>
      </c>
      <c r="AB249" s="578">
        <v>1292.2767100000001</v>
      </c>
      <c r="AC249" s="577">
        <v>1306.049</v>
      </c>
      <c r="AD249" s="576">
        <v>1405.7570000000001</v>
      </c>
      <c r="AE249" s="576">
        <v>1431.3910000000001</v>
      </c>
      <c r="AF249" s="576">
        <v>1435.1980000000001</v>
      </c>
      <c r="AG249" s="576"/>
      <c r="AH249" s="576"/>
      <c r="AI249" s="576"/>
      <c r="AK249" s="1109" t="s">
        <v>403</v>
      </c>
      <c r="AL249" s="1110"/>
      <c r="AM249" s="1110"/>
      <c r="AN249" s="1110"/>
      <c r="AO249" s="1110"/>
      <c r="AP249" s="1110"/>
      <c r="AQ249" s="1110"/>
      <c r="AR249" s="1110"/>
      <c r="AS249" s="1110"/>
      <c r="AT249" s="1110"/>
      <c r="AU249" s="1110"/>
      <c r="AV249" s="1110"/>
      <c r="AW249" s="1110"/>
      <c r="AX249" s="1110"/>
      <c r="AY249" s="1110"/>
      <c r="AZ249" s="1110"/>
      <c r="BA249" s="1111"/>
    </row>
    <row r="250" spans="10:58" ht="15.75" thickBot="1" x14ac:dyDescent="0.3">
      <c r="K250" s="86"/>
      <c r="N250" s="86">
        <f>N246+N253</f>
        <v>563.25</v>
      </c>
      <c r="R250" s="1">
        <v>610659</v>
      </c>
      <c r="T250" s="2"/>
      <c r="V250" s="86"/>
      <c r="W250" s="86"/>
      <c r="X250" s="86"/>
      <c r="Y250" s="579"/>
      <c r="AA250" s="1">
        <v>728857</v>
      </c>
      <c r="AE250" s="1">
        <v>814923</v>
      </c>
      <c r="AK250" s="416" t="s">
        <v>404</v>
      </c>
      <c r="AL250" s="217" t="s">
        <v>235</v>
      </c>
      <c r="AM250" s="217" t="s">
        <v>236</v>
      </c>
      <c r="AN250" s="217" t="s">
        <v>237</v>
      </c>
      <c r="AO250" s="217" t="s">
        <v>238</v>
      </c>
      <c r="AP250" s="217" t="s">
        <v>239</v>
      </c>
      <c r="AQ250" s="217" t="s">
        <v>240</v>
      </c>
      <c r="AR250" s="217" t="s">
        <v>241</v>
      </c>
      <c r="AS250" s="218" t="s">
        <v>242</v>
      </c>
      <c r="AT250" s="218" t="s">
        <v>243</v>
      </c>
      <c r="AU250" s="218" t="s">
        <v>244</v>
      </c>
      <c r="AV250" s="218" t="s">
        <v>245</v>
      </c>
      <c r="AW250" s="218" t="s">
        <v>246</v>
      </c>
      <c r="AX250" s="218" t="s">
        <v>247</v>
      </c>
      <c r="AY250" s="218" t="s">
        <v>248</v>
      </c>
      <c r="AZ250" s="218" t="s">
        <v>249</v>
      </c>
      <c r="BA250" s="218" t="s">
        <v>250</v>
      </c>
    </row>
    <row r="251" spans="10:58" ht="15.75" thickBot="1" x14ac:dyDescent="0.3">
      <c r="N251" s="86">
        <f>N247+N254</f>
        <v>422.26400000000001</v>
      </c>
      <c r="R251" s="1">
        <v>459966</v>
      </c>
      <c r="W251" s="1">
        <v>505143</v>
      </c>
      <c r="Y251" s="27"/>
      <c r="AA251" s="1">
        <v>544888</v>
      </c>
      <c r="AE251" s="1">
        <v>616467</v>
      </c>
      <c r="AK251" s="24" t="s">
        <v>332</v>
      </c>
      <c r="AL251" s="245">
        <f t="shared" ref="AL251:AO251" si="206">AP218/AL218*100-100</f>
        <v>37.21777222388846</v>
      </c>
      <c r="AM251" s="245">
        <f t="shared" si="206"/>
        <v>45.49606860992651</v>
      </c>
      <c r="AN251" s="245">
        <f t="shared" si="206"/>
        <v>59.11719107424733</v>
      </c>
      <c r="AO251" s="245">
        <f t="shared" si="206"/>
        <v>36.99732439136568</v>
      </c>
      <c r="AP251" s="245">
        <f>AU218/AP218*100-100</f>
        <v>-10.266607831470751</v>
      </c>
      <c r="AQ251" s="245">
        <f>AV218/AQ218*100-100</f>
        <v>-7.8884139072657575</v>
      </c>
      <c r="AR251" s="245">
        <f t="shared" ref="AR251:AS251" si="207">AW218/AR218*100-100</f>
        <v>-17.55235430215221</v>
      </c>
      <c r="AS251" s="245">
        <f t="shared" si="207"/>
        <v>12.690161301525379</v>
      </c>
      <c r="AT251" s="245">
        <f>AY218/AU218*100-100</f>
        <v>57.128056361375883</v>
      </c>
      <c r="AU251" s="245">
        <f t="shared" ref="AU251:BA252" si="208">AZ218/AV218*100-100</f>
        <v>34.302743070515561</v>
      </c>
      <c r="AV251" s="245">
        <f t="shared" si="208"/>
        <v>35.13098001386669</v>
      </c>
      <c r="AW251" s="246">
        <f t="shared" si="208"/>
        <v>41.130852029568132</v>
      </c>
      <c r="AX251" s="246">
        <f t="shared" si="208"/>
        <v>34.432282737702764</v>
      </c>
      <c r="AY251" s="246">
        <f t="shared" si="208"/>
        <v>82.077741538790576</v>
      </c>
      <c r="AZ251" s="246">
        <f>BE218/BA218*100-100</f>
        <v>64.880540745532812</v>
      </c>
      <c r="BA251" s="246">
        <f>BF218/BB218*100-100</f>
        <v>27.059709995773076</v>
      </c>
    </row>
    <row r="252" spans="10:58" ht="15.75" thickBot="1" x14ac:dyDescent="0.3">
      <c r="J252" s="33" t="s">
        <v>405</v>
      </c>
      <c r="K252" s="171" t="s">
        <v>0</v>
      </c>
      <c r="L252" s="94" t="s">
        <v>1</v>
      </c>
      <c r="M252" s="94" t="s">
        <v>2</v>
      </c>
      <c r="N252" s="94" t="s">
        <v>3</v>
      </c>
      <c r="O252" s="94" t="s">
        <v>4</v>
      </c>
      <c r="P252" s="94" t="s">
        <v>5</v>
      </c>
      <c r="Q252" s="94" t="s">
        <v>6</v>
      </c>
      <c r="R252" s="94" t="s">
        <v>7</v>
      </c>
      <c r="S252" s="94" t="s">
        <v>27</v>
      </c>
      <c r="T252" s="94" t="s">
        <v>9</v>
      </c>
      <c r="U252" s="94" t="s">
        <v>10</v>
      </c>
      <c r="V252" s="94" t="s">
        <v>11</v>
      </c>
      <c r="W252" s="73" t="s">
        <v>12</v>
      </c>
      <c r="X252" s="94" t="s">
        <v>13</v>
      </c>
      <c r="Y252" s="94" t="s">
        <v>14</v>
      </c>
      <c r="Z252" s="73" t="s">
        <v>15</v>
      </c>
      <c r="AA252" s="75" t="s">
        <v>16</v>
      </c>
      <c r="AB252" s="75" t="s">
        <v>17</v>
      </c>
      <c r="AC252" s="75" t="s">
        <v>18</v>
      </c>
      <c r="AD252" s="94" t="s">
        <v>19</v>
      </c>
      <c r="AE252" s="94" t="s">
        <v>203</v>
      </c>
      <c r="AF252" s="94" t="s">
        <v>202</v>
      </c>
      <c r="AG252" s="94" t="s">
        <v>21</v>
      </c>
      <c r="AH252" s="94" t="s">
        <v>22</v>
      </c>
      <c r="AI252" s="94" t="s">
        <v>203</v>
      </c>
      <c r="AK252" s="493" t="s">
        <v>333</v>
      </c>
      <c r="AL252" s="494">
        <f>AP219/AL219*100-100</f>
        <v>-2.9982792978944701</v>
      </c>
      <c r="AM252" s="494">
        <f>AQ219/AM219*100-100</f>
        <v>-9.1515993705298229</v>
      </c>
      <c r="AN252" s="494">
        <f>AR219/AN219*100-100</f>
        <v>-4.4579782277577351</v>
      </c>
      <c r="AO252" s="494">
        <f>AS219/AO219*100-100</f>
        <v>38.76313918190192</v>
      </c>
      <c r="AP252" s="494">
        <f>AU219/AP219*100-100</f>
        <v>0.7084143233398521</v>
      </c>
      <c r="AQ252" s="494">
        <f t="shared" ref="AQ252:AS252" si="209">AV219/AQ219*100-100</f>
        <v>9.6966897712122488</v>
      </c>
      <c r="AR252" s="494">
        <f t="shared" si="209"/>
        <v>7.2544976899692841</v>
      </c>
      <c r="AS252" s="494">
        <f t="shared" si="209"/>
        <v>12.590153909916708</v>
      </c>
      <c r="AT252" s="494">
        <f>AY219/AU219*100-100</f>
        <v>28.433975692543527</v>
      </c>
      <c r="AU252" s="494">
        <f t="shared" si="208"/>
        <v>27.239257350234041</v>
      </c>
      <c r="AV252" s="494">
        <f t="shared" si="208"/>
        <v>6.9378449453166411</v>
      </c>
      <c r="AW252" s="249">
        <f t="shared" si="208"/>
        <v>-4.211217407615834</v>
      </c>
      <c r="AX252" s="249">
        <f t="shared" si="208"/>
        <v>-29.338547938490393</v>
      </c>
      <c r="AY252" s="249">
        <f t="shared" si="208"/>
        <v>0.53116732804232925</v>
      </c>
      <c r="AZ252" s="249">
        <f t="shared" si="208"/>
        <v>7.1326043821505607</v>
      </c>
      <c r="BA252" s="249">
        <f t="shared" si="208"/>
        <v>-2.8623649596919023</v>
      </c>
    </row>
    <row r="253" spans="10:58" ht="15.75" thickBot="1" x14ac:dyDescent="0.3">
      <c r="J253" s="25" t="s">
        <v>406</v>
      </c>
      <c r="K253" s="561">
        <v>332.54899999999998</v>
      </c>
      <c r="L253" s="562">
        <v>336.06400000000002</v>
      </c>
      <c r="M253" s="562">
        <v>349.69499999999999</v>
      </c>
      <c r="N253" s="562">
        <v>310.613</v>
      </c>
      <c r="O253" s="562">
        <v>312.786</v>
      </c>
      <c r="P253" s="562">
        <v>308.18400000000003</v>
      </c>
      <c r="Q253" s="562">
        <v>315.42700000000002</v>
      </c>
      <c r="R253" s="562">
        <v>305.62799999999999</v>
      </c>
      <c r="S253" s="562">
        <v>284.17</v>
      </c>
      <c r="T253" s="562">
        <v>301.46699999999998</v>
      </c>
      <c r="U253" s="563">
        <v>314.30500000000001</v>
      </c>
      <c r="V253" s="563">
        <v>331.17099999999999</v>
      </c>
      <c r="W253" s="563">
        <v>314.52800000000002</v>
      </c>
      <c r="X253" s="562">
        <v>350.202</v>
      </c>
      <c r="Y253" s="562">
        <v>373.863</v>
      </c>
      <c r="Z253" s="562">
        <v>388.93900000000002</v>
      </c>
      <c r="AA253" s="580">
        <v>380</v>
      </c>
      <c r="AB253" s="563">
        <v>392.31833999999998</v>
      </c>
      <c r="AC253" s="563">
        <v>412.68099999999998</v>
      </c>
      <c r="AD253" s="562">
        <v>439.25099999999998</v>
      </c>
      <c r="AE253" s="562">
        <v>449.166</v>
      </c>
      <c r="AF253" s="562">
        <v>452.18099999999998</v>
      </c>
      <c r="AG253" s="562"/>
      <c r="AH253" s="562"/>
      <c r="AI253" s="562"/>
      <c r="AK253" s="431" t="s">
        <v>407</v>
      </c>
      <c r="AL253" s="496">
        <f t="shared" ref="AL253:AO253" si="210">AP222/AL222*100-100</f>
        <v>5.3513612054271391</v>
      </c>
      <c r="AM253" s="496">
        <f t="shared" si="210"/>
        <v>2.5451141983473349</v>
      </c>
      <c r="AN253" s="496">
        <f t="shared" si="210"/>
        <v>9.9277689555908637</v>
      </c>
      <c r="AO253" s="496">
        <f t="shared" si="210"/>
        <v>38.252695282906615</v>
      </c>
      <c r="AP253" s="496">
        <f>AU222/AP222*100-100</f>
        <v>-2.2594494792889606</v>
      </c>
      <c r="AQ253" s="496">
        <f t="shared" ref="AQ253:AS253" si="211">AV222/AQ222*100-100</f>
        <v>4.3562940417767777</v>
      </c>
      <c r="AR253" s="496">
        <f t="shared" si="211"/>
        <v>-0.87055607516042244</v>
      </c>
      <c r="AS253" s="496">
        <f t="shared" si="211"/>
        <v>12.618800533790292</v>
      </c>
      <c r="AT253" s="228">
        <f>AY222/AU222*100-100</f>
        <v>35.557750478424595</v>
      </c>
      <c r="AU253" s="228">
        <f t="shared" ref="AU253:AV253" si="212">AZ222/AV222*100-100</f>
        <v>29.132660917770238</v>
      </c>
      <c r="AV253" s="228">
        <f t="shared" si="212"/>
        <v>14.618062969106703</v>
      </c>
      <c r="AW253" s="228">
        <f>BB222/AX222*100-100</f>
        <v>8.785024495773655</v>
      </c>
      <c r="AX253" s="228">
        <f t="shared" ref="AX253:BA253" si="213">BC222/AY222*100-100</f>
        <v>-10.987142705344809</v>
      </c>
      <c r="AY253" s="228">
        <f t="shared" si="213"/>
        <v>23.265312206537786</v>
      </c>
      <c r="AZ253" s="228">
        <f t="shared" si="213"/>
        <v>25.679383843811564</v>
      </c>
      <c r="BA253" s="228">
        <f t="shared" si="213"/>
        <v>8.2641973621266942</v>
      </c>
    </row>
    <row r="254" spans="10:58" ht="15.75" thickBot="1" x14ac:dyDescent="0.3">
      <c r="J254" s="581" t="s">
        <v>408</v>
      </c>
      <c r="K254" s="582">
        <v>381.036</v>
      </c>
      <c r="L254" s="567">
        <v>386.89600000000002</v>
      </c>
      <c r="M254" s="567">
        <v>412.786</v>
      </c>
      <c r="N254" s="567">
        <v>418.65300000000002</v>
      </c>
      <c r="O254" s="567">
        <v>388.79399999999998</v>
      </c>
      <c r="P254" s="567">
        <v>378.63900000000001</v>
      </c>
      <c r="Q254" s="567">
        <v>422.02100000000002</v>
      </c>
      <c r="R254" s="567">
        <v>455.839</v>
      </c>
      <c r="S254" s="567">
        <v>442.11399999999998</v>
      </c>
      <c r="T254" s="567">
        <v>444.90100000000001</v>
      </c>
      <c r="U254" s="568">
        <v>461.14699999999999</v>
      </c>
      <c r="V254" s="568">
        <v>491.89299999999997</v>
      </c>
      <c r="W254" s="568">
        <v>497.714</v>
      </c>
      <c r="X254" s="567">
        <v>515.46</v>
      </c>
      <c r="Y254" s="567">
        <v>506.084</v>
      </c>
      <c r="Z254" s="567">
        <v>541.42999999999995</v>
      </c>
      <c r="AA254" s="583">
        <v>539.25599999999997</v>
      </c>
      <c r="AB254" s="568">
        <v>553.56083999999998</v>
      </c>
      <c r="AC254" s="568">
        <v>525.01400000000001</v>
      </c>
      <c r="AD254" s="567">
        <v>587.21299999999997</v>
      </c>
      <c r="AE254" s="567">
        <v>610.32000000000005</v>
      </c>
      <c r="AF254" s="567">
        <v>614.66499999999996</v>
      </c>
      <c r="AG254" s="567"/>
      <c r="AH254" s="567"/>
      <c r="AI254" s="567"/>
      <c r="AK254" s="157" t="s">
        <v>409</v>
      </c>
      <c r="AL254" s="217" t="s">
        <v>235</v>
      </c>
      <c r="AM254" s="217" t="s">
        <v>236</v>
      </c>
      <c r="AN254" s="217" t="s">
        <v>237</v>
      </c>
      <c r="AO254" s="217" t="s">
        <v>238</v>
      </c>
      <c r="AP254" s="217" t="s">
        <v>239</v>
      </c>
      <c r="AQ254" s="217" t="s">
        <v>240</v>
      </c>
      <c r="AR254" s="217" t="s">
        <v>241</v>
      </c>
      <c r="AS254" s="3" t="s">
        <v>242</v>
      </c>
      <c r="AT254" s="3" t="s">
        <v>243</v>
      </c>
      <c r="AU254" s="3" t="s">
        <v>244</v>
      </c>
      <c r="AV254" s="3" t="s">
        <v>245</v>
      </c>
      <c r="AW254" s="3" t="s">
        <v>246</v>
      </c>
      <c r="AX254" s="3" t="s">
        <v>247</v>
      </c>
      <c r="AY254" s="3" t="s">
        <v>248</v>
      </c>
      <c r="AZ254" s="3" t="s">
        <v>249</v>
      </c>
      <c r="BA254" s="3" t="s">
        <v>250</v>
      </c>
    </row>
    <row r="255" spans="10:58" ht="15.75" thickBot="1" x14ac:dyDescent="0.3">
      <c r="J255" s="569" t="s">
        <v>410</v>
      </c>
      <c r="K255" s="570">
        <f>K253+K254</f>
        <v>713.58500000000004</v>
      </c>
      <c r="L255" s="571">
        <f t="shared" ref="L255:AC255" si="214">L253+L254</f>
        <v>722.96</v>
      </c>
      <c r="M255" s="571">
        <f t="shared" si="214"/>
        <v>762.48099999999999</v>
      </c>
      <c r="N255" s="571">
        <f t="shared" si="214"/>
        <v>729.26600000000008</v>
      </c>
      <c r="O255" s="571">
        <f t="shared" si="214"/>
        <v>701.57999999999993</v>
      </c>
      <c r="P255" s="571">
        <f t="shared" si="214"/>
        <v>686.82300000000009</v>
      </c>
      <c r="Q255" s="571">
        <f t="shared" si="214"/>
        <v>737.44800000000009</v>
      </c>
      <c r="R255" s="571">
        <f t="shared" si="214"/>
        <v>761.46699999999998</v>
      </c>
      <c r="S255" s="571">
        <f t="shared" si="214"/>
        <v>726.28399999999999</v>
      </c>
      <c r="T255" s="571">
        <f t="shared" si="214"/>
        <v>746.36799999999994</v>
      </c>
      <c r="U255" s="571">
        <f t="shared" si="214"/>
        <v>775.452</v>
      </c>
      <c r="V255" s="571">
        <f t="shared" si="214"/>
        <v>823.06399999999996</v>
      </c>
      <c r="W255" s="571">
        <f t="shared" si="214"/>
        <v>812.24199999999996</v>
      </c>
      <c r="X255" s="571">
        <f t="shared" si="214"/>
        <v>865.66200000000003</v>
      </c>
      <c r="Y255" s="571">
        <f t="shared" si="214"/>
        <v>879.947</v>
      </c>
      <c r="Z255" s="571">
        <f t="shared" si="214"/>
        <v>930.36899999999991</v>
      </c>
      <c r="AA255" s="572">
        <f t="shared" si="214"/>
        <v>919.25599999999997</v>
      </c>
      <c r="AB255" s="572">
        <f t="shared" si="214"/>
        <v>945.87917999999991</v>
      </c>
      <c r="AC255" s="572">
        <f t="shared" si="214"/>
        <v>937.69499999999994</v>
      </c>
      <c r="AD255" s="571">
        <v>1026.4639999999999</v>
      </c>
      <c r="AE255" s="571">
        <v>1059.4860000000001</v>
      </c>
      <c r="AF255" s="571">
        <v>1066.846</v>
      </c>
      <c r="AG255" s="571"/>
      <c r="AH255" s="571"/>
      <c r="AI255" s="571"/>
      <c r="AJ255" s="573">
        <f>AD255/AC255*100-100</f>
        <v>9.4667242546883585</v>
      </c>
      <c r="AK255" s="24" t="s">
        <v>332</v>
      </c>
      <c r="AL255" s="231">
        <f t="shared" ref="AL255:AO255" si="215">AP235/AL235*100-100</f>
        <v>19.429621640397471</v>
      </c>
      <c r="AM255" s="231">
        <f t="shared" si="215"/>
        <v>7.6982464318225254</v>
      </c>
      <c r="AN255" s="231">
        <f t="shared" si="215"/>
        <v>76.483764373424094</v>
      </c>
      <c r="AO255" s="231">
        <f t="shared" si="215"/>
        <v>1.6348908466149936</v>
      </c>
      <c r="AP255" s="231">
        <f>AU235/AP235*100-100</f>
        <v>102.82925727494603</v>
      </c>
      <c r="AQ255" s="231">
        <f t="shared" ref="AQ255:AS256" si="216">AV235/AQ235*100-100</f>
        <v>-6.5141268725437698</v>
      </c>
      <c r="AR255" s="231">
        <f t="shared" si="216"/>
        <v>-47.425802543912774</v>
      </c>
      <c r="AS255" s="231">
        <f t="shared" si="216"/>
        <v>181.50814912432429</v>
      </c>
      <c r="AT255" s="205">
        <f>AY235/AU235*100-100</f>
        <v>-39.371980676328498</v>
      </c>
      <c r="AU255" s="205">
        <f t="shared" ref="AU255:BA256" si="217">AZ235/AV235*100-100</f>
        <v>50.28506271379706</v>
      </c>
      <c r="AV255" s="205">
        <f t="shared" si="217"/>
        <v>60.599078341013836</v>
      </c>
      <c r="AW255" s="205">
        <f t="shared" si="217"/>
        <v>-41.676792223572299</v>
      </c>
      <c r="AX255" s="205">
        <f t="shared" si="217"/>
        <v>42.231075697211168</v>
      </c>
      <c r="AY255" s="205">
        <f t="shared" si="217"/>
        <v>30.804248861911987</v>
      </c>
      <c r="AZ255" s="205">
        <f t="shared" si="217"/>
        <v>43.328550932568163</v>
      </c>
      <c r="BA255" s="205">
        <f t="shared" si="217"/>
        <v>11.770833333333329</v>
      </c>
    </row>
    <row r="256" spans="10:58" ht="15.75" thickBot="1" x14ac:dyDescent="0.3">
      <c r="J256" s="574" t="s">
        <v>26</v>
      </c>
      <c r="K256" s="576">
        <v>825.05600000000004</v>
      </c>
      <c r="L256" s="576">
        <v>848.20399999999995</v>
      </c>
      <c r="M256" s="576">
        <v>924.69600000000003</v>
      </c>
      <c r="N256" s="576">
        <v>985.51400000000001</v>
      </c>
      <c r="O256" s="576">
        <v>997.79100000000005</v>
      </c>
      <c r="P256" s="576">
        <v>1005.984</v>
      </c>
      <c r="Q256" s="576">
        <v>1073.2380000000001</v>
      </c>
      <c r="R256" s="576">
        <v>1070.624</v>
      </c>
      <c r="S256" s="576">
        <v>1030.76</v>
      </c>
      <c r="T256" s="576">
        <v>1072.5440000000001</v>
      </c>
      <c r="U256" s="577">
        <v>1109.8920000000001</v>
      </c>
      <c r="V256" s="577">
        <v>1163.376</v>
      </c>
      <c r="W256" s="577">
        <v>1129.5930000000001</v>
      </c>
      <c r="X256" s="576">
        <v>1205.011</v>
      </c>
      <c r="Y256" s="576">
        <v>1233.423</v>
      </c>
      <c r="Z256" s="576">
        <v>1292.9829999999999</v>
      </c>
      <c r="AA256" s="584">
        <v>1273.7449999999999</v>
      </c>
      <c r="AB256" s="578">
        <v>1292.2767100000001</v>
      </c>
      <c r="AC256" s="577">
        <v>1306.049</v>
      </c>
      <c r="AD256" s="576">
        <v>1405.7570000000001</v>
      </c>
      <c r="AE256" s="576">
        <v>1431.3910000000001</v>
      </c>
      <c r="AF256" s="576">
        <v>1435.1980000000001</v>
      </c>
      <c r="AG256" s="576"/>
      <c r="AH256" s="576"/>
      <c r="AI256" s="576"/>
      <c r="AK256" s="493" t="s">
        <v>333</v>
      </c>
      <c r="AL256" s="402">
        <f>AP236/AL236*100-100</f>
        <v>-7.1174081141368788</v>
      </c>
      <c r="AM256" s="402">
        <f>AQ236/AM236*100-100</f>
        <v>-10.357837866313417</v>
      </c>
      <c r="AN256" s="402">
        <f>AR236/AN236*100-100</f>
        <v>-1.2899732450543979</v>
      </c>
      <c r="AO256" s="402">
        <f>AS236/AO236*100-100</f>
        <v>10.302783776015502</v>
      </c>
      <c r="AP256" s="402">
        <f>AU236/AP236*100-100</f>
        <v>21.604139629648373</v>
      </c>
      <c r="AQ256" s="402">
        <f t="shared" si="216"/>
        <v>13.326826892325514</v>
      </c>
      <c r="AR256" s="402">
        <f t="shared" si="216"/>
        <v>7.3028328375235958</v>
      </c>
      <c r="AS256" s="402">
        <f t="shared" si="216"/>
        <v>6.5713701926169819</v>
      </c>
      <c r="AT256" s="211">
        <f>AY236/AU236*100-100</f>
        <v>11.979288435355429</v>
      </c>
      <c r="AU256" s="211">
        <f t="shared" si="217"/>
        <v>21.911482133341948</v>
      </c>
      <c r="AV256" s="211">
        <f t="shared" si="217"/>
        <v>7.3378472606890881</v>
      </c>
      <c r="AW256" s="211">
        <f t="shared" si="217"/>
        <v>-2.4084428211209001</v>
      </c>
      <c r="AX256" s="211">
        <f t="shared" si="217"/>
        <v>5.782728573446235</v>
      </c>
      <c r="AY256" s="211">
        <f t="shared" si="217"/>
        <v>-3.0350591382895686</v>
      </c>
      <c r="AZ256" s="211">
        <f t="shared" si="217"/>
        <v>-4.6560339018037666</v>
      </c>
      <c r="BA256" s="211">
        <f t="shared" si="217"/>
        <v>-10.469275658801052</v>
      </c>
    </row>
    <row r="257" spans="10:58" ht="15.75" thickBot="1" x14ac:dyDescent="0.3">
      <c r="Y257" s="2"/>
      <c r="AK257" s="431" t="s">
        <v>411</v>
      </c>
      <c r="AL257" s="503">
        <f t="shared" ref="AL257:AO257" si="218">AP239/AL239*100-100</f>
        <v>-6.9423785604144399</v>
      </c>
      <c r="AM257" s="503">
        <f t="shared" si="218"/>
        <v>-10.2297571152058</v>
      </c>
      <c r="AN257" s="503">
        <f t="shared" si="218"/>
        <v>-0.79099374529879185</v>
      </c>
      <c r="AO257" s="503">
        <f t="shared" si="218"/>
        <v>10.235660328200595</v>
      </c>
      <c r="AP257" s="503">
        <f>AU239/AP239*100-100</f>
        <v>22.291438937596084</v>
      </c>
      <c r="AQ257" s="503">
        <f t="shared" ref="AQ257:AS257" si="219">AV239/AQ239*100-100</f>
        <v>13.157977668327732</v>
      </c>
      <c r="AR257" s="503">
        <f t="shared" si="219"/>
        <v>6.6782097807944751</v>
      </c>
      <c r="AS257" s="503">
        <f t="shared" si="219"/>
        <v>7.8203705449109577</v>
      </c>
      <c r="AT257" s="237">
        <f>AY239/AU239*100-100</f>
        <v>11.25861040299398</v>
      </c>
      <c r="AU257" s="237">
        <f t="shared" ref="AU257:BA257" si="220">AZ239/AV239*100-100</f>
        <v>22.11096770055876</v>
      </c>
      <c r="AV257" s="237">
        <f t="shared" si="220"/>
        <v>7.6374263700516423</v>
      </c>
      <c r="AW257" s="237">
        <f t="shared" si="220"/>
        <v>-3.1404481339078956</v>
      </c>
      <c r="AX257" s="237">
        <f t="shared" si="220"/>
        <v>6.0614739613167359</v>
      </c>
      <c r="AY257" s="237">
        <f t="shared" si="220"/>
        <v>-2.7422531512605133</v>
      </c>
      <c r="AZ257" s="237">
        <f t="shared" si="220"/>
        <v>-4.2533337346858957</v>
      </c>
      <c r="BA257" s="237">
        <f t="shared" si="220"/>
        <v>-10.219639526930251</v>
      </c>
    </row>
    <row r="258" spans="10:58" x14ac:dyDescent="0.25">
      <c r="N258" s="1">
        <v>252637</v>
      </c>
      <c r="W258" s="1">
        <v>309922</v>
      </c>
      <c r="Y258" s="2"/>
    </row>
    <row r="259" spans="10:58" ht="15.75" thickBot="1" x14ac:dyDescent="0.3">
      <c r="K259" s="86"/>
      <c r="N259" s="1">
        <v>310613</v>
      </c>
      <c r="O259" s="86"/>
      <c r="T259" s="86"/>
      <c r="W259" s="1">
        <v>314528</v>
      </c>
      <c r="X259" s="86"/>
      <c r="AB259" s="86"/>
    </row>
    <row r="260" spans="10:58" ht="15.75" thickBot="1" x14ac:dyDescent="0.3">
      <c r="K260" s="86"/>
      <c r="N260" s="1">
        <f>SUM(N258:N259)</f>
        <v>563250</v>
      </c>
      <c r="O260" s="86"/>
      <c r="T260" s="86"/>
      <c r="W260" s="1">
        <v>624450</v>
      </c>
      <c r="X260" s="86"/>
      <c r="AB260" s="86"/>
      <c r="AK260" s="1109" t="s">
        <v>412</v>
      </c>
      <c r="AL260" s="1110"/>
      <c r="AM260" s="1110"/>
      <c r="AN260" s="1110"/>
      <c r="AO260" s="1110"/>
      <c r="AP260" s="1110"/>
      <c r="AQ260" s="1110"/>
      <c r="AR260" s="1110"/>
      <c r="AS260" s="1110"/>
      <c r="AT260" s="1110"/>
      <c r="AU260" s="1110"/>
      <c r="AV260" s="1110"/>
      <c r="AW260" s="1110"/>
      <c r="AX260" s="1110"/>
      <c r="AY260" s="1110"/>
      <c r="AZ260" s="1110"/>
      <c r="BA260" s="1111"/>
    </row>
    <row r="261" spans="10:58" ht="15.75" thickBot="1" x14ac:dyDescent="0.3">
      <c r="K261" s="86"/>
      <c r="O261" s="86"/>
      <c r="T261" s="86"/>
      <c r="X261" s="86"/>
      <c r="AB261" s="86"/>
      <c r="AK261" s="416" t="s">
        <v>413</v>
      </c>
      <c r="AL261" s="217" t="s">
        <v>269</v>
      </c>
      <c r="AM261" s="217" t="s">
        <v>270</v>
      </c>
      <c r="AN261" s="217" t="s">
        <v>271</v>
      </c>
      <c r="AO261" s="217" t="s">
        <v>272</v>
      </c>
      <c r="AP261" s="217" t="s">
        <v>273</v>
      </c>
      <c r="AQ261" s="217" t="s">
        <v>274</v>
      </c>
      <c r="AR261" s="217" t="s">
        <v>275</v>
      </c>
      <c r="AS261" s="217" t="s">
        <v>276</v>
      </c>
      <c r="AT261" s="218" t="s">
        <v>277</v>
      </c>
      <c r="AU261" s="218" t="s">
        <v>278</v>
      </c>
      <c r="AV261" s="218" t="s">
        <v>279</v>
      </c>
      <c r="AW261" s="218" t="s">
        <v>280</v>
      </c>
      <c r="AX261" s="218" t="s">
        <v>340</v>
      </c>
      <c r="AY261" s="218" t="s">
        <v>281</v>
      </c>
      <c r="AZ261" s="218" t="s">
        <v>282</v>
      </c>
      <c r="BA261" s="218" t="s">
        <v>283</v>
      </c>
    </row>
    <row r="262" spans="10:58" ht="15.75" thickBot="1" x14ac:dyDescent="0.3">
      <c r="K262" s="171" t="s">
        <v>0</v>
      </c>
      <c r="L262" s="94" t="s">
        <v>1</v>
      </c>
      <c r="M262" s="94" t="s">
        <v>2</v>
      </c>
      <c r="N262" s="94" t="s">
        <v>3</v>
      </c>
      <c r="O262" s="94" t="s">
        <v>4</v>
      </c>
      <c r="P262" s="94" t="s">
        <v>5</v>
      </c>
      <c r="Q262" s="94" t="s">
        <v>6</v>
      </c>
      <c r="R262" s="94" t="s">
        <v>7</v>
      </c>
      <c r="S262" s="94" t="s">
        <v>27</v>
      </c>
      <c r="T262" s="94" t="s">
        <v>9</v>
      </c>
      <c r="U262" s="94" t="s">
        <v>10</v>
      </c>
      <c r="V262" s="95" t="s">
        <v>11</v>
      </c>
      <c r="W262" s="94" t="s">
        <v>12</v>
      </c>
      <c r="X262" s="94" t="s">
        <v>13</v>
      </c>
      <c r="Y262" s="75" t="s">
        <v>14</v>
      </c>
      <c r="Z262" s="75" t="s">
        <v>15</v>
      </c>
      <c r="AA262" s="75" t="s">
        <v>16</v>
      </c>
      <c r="AB262" s="94" t="s">
        <v>17</v>
      </c>
      <c r="AC262" s="73" t="s">
        <v>18</v>
      </c>
      <c r="AD262" s="94" t="s">
        <v>19</v>
      </c>
      <c r="AE262" s="94" t="s">
        <v>203</v>
      </c>
      <c r="AF262" s="94" t="s">
        <v>202</v>
      </c>
      <c r="AG262" s="94" t="s">
        <v>21</v>
      </c>
      <c r="AH262" s="94" t="s">
        <v>22</v>
      </c>
      <c r="AI262" s="94" t="s">
        <v>203</v>
      </c>
      <c r="AK262" s="24" t="s">
        <v>342</v>
      </c>
      <c r="AL262" s="245">
        <f t="shared" ref="AL262:AO263" si="221">AP218/AO218*100-100</f>
        <v>7.6764217099227494</v>
      </c>
      <c r="AM262" s="245">
        <f t="shared" si="221"/>
        <v>12.44467397616387</v>
      </c>
      <c r="AN262" s="245">
        <f t="shared" si="221"/>
        <v>33.06516106371717</v>
      </c>
      <c r="AO262" s="245">
        <f t="shared" si="221"/>
        <v>-14.966859886673433</v>
      </c>
      <c r="AP262" s="245">
        <f>AU218/AS218*100-100</f>
        <v>-29.471830055613864</v>
      </c>
      <c r="AQ262" s="245">
        <f>AV218/AU218*100-100</f>
        <v>15.424782428512216</v>
      </c>
      <c r="AR262" s="245">
        <f t="shared" ref="AR262:BA263" si="222">AW218/AV218*100-100</f>
        <v>19.104552635358331</v>
      </c>
      <c r="AS262" s="245">
        <f t="shared" si="222"/>
        <v>16.224037620956807</v>
      </c>
      <c r="AT262" s="245">
        <f>AY218/AX218*100-100</f>
        <v>-1.6599662819348993</v>
      </c>
      <c r="AU262" s="245">
        <f t="shared" si="222"/>
        <v>-1.3424765923776789</v>
      </c>
      <c r="AV262" s="245">
        <f t="shared" si="222"/>
        <v>19.83906325188471</v>
      </c>
      <c r="AW262" s="246">
        <f t="shared" si="222"/>
        <v>21.384433488745614</v>
      </c>
      <c r="AX262" s="246">
        <f t="shared" si="222"/>
        <v>-6.3275320235972998</v>
      </c>
      <c r="AY262" s="246">
        <f t="shared" si="222"/>
        <v>33.623700215813216</v>
      </c>
      <c r="AZ262" s="246">
        <f t="shared" si="222"/>
        <v>8.5202913020496709</v>
      </c>
      <c r="BA262" s="246">
        <f t="shared" si="222"/>
        <v>-6.4591197521343275</v>
      </c>
    </row>
    <row r="263" spans="10:58" ht="15.75" thickBot="1" x14ac:dyDescent="0.3">
      <c r="J263" s="24" t="s">
        <v>28</v>
      </c>
      <c r="K263" s="4">
        <v>108687</v>
      </c>
      <c r="L263" s="5">
        <v>122266</v>
      </c>
      <c r="M263" s="5">
        <v>159079</v>
      </c>
      <c r="N263" s="5">
        <v>252637</v>
      </c>
      <c r="O263" s="5">
        <v>292254</v>
      </c>
      <c r="P263" s="5">
        <v>314296</v>
      </c>
      <c r="Q263" s="5">
        <v>329297</v>
      </c>
      <c r="R263" s="5">
        <v>305031</v>
      </c>
      <c r="S263" s="5">
        <v>296198</v>
      </c>
      <c r="T263" s="5">
        <v>306407</v>
      </c>
      <c r="U263" s="28">
        <v>312436</v>
      </c>
      <c r="V263" s="5">
        <v>309406</v>
      </c>
      <c r="W263" s="5">
        <v>310092</v>
      </c>
      <c r="X263" s="5">
        <v>334360</v>
      </c>
      <c r="Y263" s="28">
        <v>348750</v>
      </c>
      <c r="Z263" s="28">
        <v>357578</v>
      </c>
      <c r="AA263" s="28">
        <v>348857</v>
      </c>
      <c r="AB263" s="5">
        <v>340813.73</v>
      </c>
      <c r="AC263" s="5">
        <v>362948</v>
      </c>
      <c r="AD263" s="5">
        <v>373263</v>
      </c>
      <c r="AE263" s="5">
        <v>365757</v>
      </c>
      <c r="AF263" s="5">
        <v>362288</v>
      </c>
      <c r="AG263" s="5"/>
      <c r="AH263" s="5"/>
      <c r="AI263" s="5"/>
      <c r="AK263" s="493" t="s">
        <v>343</v>
      </c>
      <c r="AL263" s="365">
        <f>AP219/AO219*100-100</f>
        <v>18.122064280354948</v>
      </c>
      <c r="AM263" s="365">
        <f t="shared" si="221"/>
        <v>-4.4392762251891753</v>
      </c>
      <c r="AN263" s="365">
        <f t="shared" si="221"/>
        <v>19.153277615382862</v>
      </c>
      <c r="AO263" s="365">
        <f t="shared" si="221"/>
        <v>3.1710058099454272</v>
      </c>
      <c r="AP263" s="365">
        <f>AU219/AS219*100-100</f>
        <v>-14.272004363636654</v>
      </c>
      <c r="AQ263" s="365">
        <f>AV219/AU219*100-100</f>
        <v>4.0895653126026446</v>
      </c>
      <c r="AR263" s="365">
        <f t="shared" si="222"/>
        <v>16.500552253721139</v>
      </c>
      <c r="AS263" s="365">
        <f t="shared" si="222"/>
        <v>8.3035180189839934</v>
      </c>
      <c r="AT263" s="365">
        <f t="shared" si="222"/>
        <v>-2.2082577794451765</v>
      </c>
      <c r="AU263" s="365">
        <f t="shared" si="222"/>
        <v>3.1213035092019226</v>
      </c>
      <c r="AV263" s="365">
        <f t="shared" si="222"/>
        <v>-2.0874669312169374</v>
      </c>
      <c r="AW263" s="538">
        <f t="shared" si="222"/>
        <v>-2.9879258665090589</v>
      </c>
      <c r="AX263" s="538">
        <f t="shared" si="222"/>
        <v>-27.861005037153092</v>
      </c>
      <c r="AY263" s="538">
        <f t="shared" si="222"/>
        <v>46.712312239850405</v>
      </c>
      <c r="AZ263" s="538">
        <f t="shared" si="222"/>
        <v>4.3420159947369541</v>
      </c>
      <c r="BA263" s="538">
        <f t="shared" si="222"/>
        <v>-12.03869721986878</v>
      </c>
    </row>
    <row r="264" spans="10:58" ht="15.75" thickBot="1" x14ac:dyDescent="0.3">
      <c r="J264" s="23" t="s">
        <v>29</v>
      </c>
      <c r="K264" s="585">
        <v>2785</v>
      </c>
      <c r="L264" s="5">
        <v>2978</v>
      </c>
      <c r="M264" s="5">
        <v>3136</v>
      </c>
      <c r="N264" s="5">
        <v>3611</v>
      </c>
      <c r="O264" s="5">
        <v>3956</v>
      </c>
      <c r="P264" s="5">
        <v>4866</v>
      </c>
      <c r="Q264" s="5">
        <v>6492</v>
      </c>
      <c r="R264" s="5">
        <v>4127</v>
      </c>
      <c r="S264" s="5">
        <v>8278</v>
      </c>
      <c r="T264" s="5">
        <v>3788</v>
      </c>
      <c r="U264" s="28">
        <v>3823</v>
      </c>
      <c r="V264" s="28">
        <v>7428.62</v>
      </c>
      <c r="W264" s="28">
        <v>4730</v>
      </c>
      <c r="X264" s="5">
        <v>4989</v>
      </c>
      <c r="Y264" s="5">
        <v>4726</v>
      </c>
      <c r="Z264" s="586">
        <v>5036</v>
      </c>
      <c r="AA264" s="28">
        <v>5632</v>
      </c>
      <c r="AB264" s="5">
        <v>5583.8</v>
      </c>
      <c r="AC264" s="5">
        <v>5405</v>
      </c>
      <c r="AD264" s="5">
        <v>6031</v>
      </c>
      <c r="AE264" s="5">
        <v>6147</v>
      </c>
      <c r="AF264" s="5">
        <v>6064</v>
      </c>
      <c r="AG264" s="5"/>
      <c r="AH264" s="5"/>
      <c r="AI264" s="5"/>
      <c r="AK264" s="431" t="s">
        <v>414</v>
      </c>
      <c r="AL264" s="432">
        <f>AP222/AO222*100-100</f>
        <v>15.102543462124899</v>
      </c>
      <c r="AM264" s="432">
        <f t="shared" ref="AM264:AO264" si="223">AQ222/AP222*100-100</f>
        <v>0.12647899071436086</v>
      </c>
      <c r="AN264" s="432">
        <f t="shared" si="223"/>
        <v>23.378158191254371</v>
      </c>
      <c r="AO264" s="432">
        <f t="shared" si="223"/>
        <v>-2.7697372563869891</v>
      </c>
      <c r="AP264" s="432">
        <f>AU222/AS222*100-100</f>
        <v>-18.625919434692463</v>
      </c>
      <c r="AQ264" s="432">
        <f>AV222/AU222*100-100</f>
        <v>6.9037183365228287</v>
      </c>
      <c r="AR264" s="432">
        <f t="shared" ref="AR264:BA264" si="224">AW222/AV222*100-100</f>
        <v>17.198567908838939</v>
      </c>
      <c r="AS264" s="432">
        <f t="shared" si="224"/>
        <v>10.461182189958436</v>
      </c>
      <c r="AT264" s="432">
        <f t="shared" si="224"/>
        <v>-2.0511028673808482</v>
      </c>
      <c r="AU264" s="432">
        <f t="shared" si="224"/>
        <v>1.8367563793129591</v>
      </c>
      <c r="AV264" s="432">
        <f t="shared" si="224"/>
        <v>4.0253700418859069</v>
      </c>
      <c r="AW264" s="437">
        <f t="shared" si="224"/>
        <v>4.8396919219057821</v>
      </c>
      <c r="AX264" s="437">
        <f t="shared" si="224"/>
        <v>-19.853755210824858</v>
      </c>
      <c r="AY264" s="437">
        <f t="shared" si="224"/>
        <v>41.023891949044156</v>
      </c>
      <c r="AZ264" s="437">
        <f t="shared" si="224"/>
        <v>6.0626398210290802</v>
      </c>
      <c r="BA264" s="437">
        <f t="shared" si="224"/>
        <v>-9.687772564802728</v>
      </c>
    </row>
    <row r="265" spans="10:58" ht="15.75" thickBot="1" x14ac:dyDescent="0.3">
      <c r="AK265" s="157" t="s">
        <v>415</v>
      </c>
      <c r="AL265" s="257" t="s">
        <v>269</v>
      </c>
      <c r="AM265" s="257" t="s">
        <v>270</v>
      </c>
      <c r="AN265" s="257" t="s">
        <v>271</v>
      </c>
      <c r="AO265" s="257" t="s">
        <v>272</v>
      </c>
      <c r="AP265" s="257" t="s">
        <v>273</v>
      </c>
      <c r="AQ265" s="257" t="s">
        <v>274</v>
      </c>
      <c r="AR265" s="257" t="s">
        <v>275</v>
      </c>
      <c r="AS265" s="257" t="s">
        <v>276</v>
      </c>
      <c r="AT265" s="3" t="s">
        <v>277</v>
      </c>
      <c r="AU265" s="3" t="s">
        <v>278</v>
      </c>
      <c r="AV265" s="3" t="s">
        <v>279</v>
      </c>
      <c r="AW265" s="3" t="s">
        <v>280</v>
      </c>
      <c r="AX265" s="3" t="s">
        <v>340</v>
      </c>
      <c r="AY265" s="3" t="s">
        <v>281</v>
      </c>
      <c r="AZ265" s="3" t="s">
        <v>282</v>
      </c>
      <c r="BA265" s="3" t="s">
        <v>283</v>
      </c>
    </row>
    <row r="266" spans="10:58" x14ac:dyDescent="0.25">
      <c r="AK266" s="24" t="s">
        <v>342</v>
      </c>
      <c r="AL266" s="245">
        <f>AP235/AO235*100-100</f>
        <v>-11.302022929255259</v>
      </c>
      <c r="AM266" s="245">
        <f t="shared" ref="AM266:AO267" si="225">AQ235/AP235*100-100</f>
        <v>-8.0791863959191517</v>
      </c>
      <c r="AN266" s="245">
        <f t="shared" si="225"/>
        <v>75.992219536408498</v>
      </c>
      <c r="AO266" s="245">
        <f t="shared" si="225"/>
        <v>-29.169259539672922</v>
      </c>
      <c r="AP266" s="245">
        <f>AU235/AS235*100-100</f>
        <v>77.011503246461501</v>
      </c>
      <c r="AQ266" s="245">
        <f>AV235/AU235*100-100</f>
        <v>-57.632850241545889</v>
      </c>
      <c r="AR266" s="245">
        <f t="shared" ref="AR266:BA267" si="226">AW235/AV235*100-100</f>
        <v>-1.0262257696693382</v>
      </c>
      <c r="AS266" s="245">
        <f t="shared" si="226"/>
        <v>279.26267281105993</v>
      </c>
      <c r="AT266" s="245">
        <f t="shared" si="226"/>
        <v>-61.877278250303767</v>
      </c>
      <c r="AU266" s="245">
        <f t="shared" si="226"/>
        <v>5.0199203187250845</v>
      </c>
      <c r="AV266" s="245">
        <f t="shared" si="226"/>
        <v>5.7663125948406559</v>
      </c>
      <c r="AW266" s="246">
        <f t="shared" si="226"/>
        <v>37.733142037302741</v>
      </c>
      <c r="AX266" s="246">
        <f t="shared" si="226"/>
        <v>-7.03125</v>
      </c>
      <c r="AY266" s="246">
        <f t="shared" si="226"/>
        <v>-3.4173669467787136</v>
      </c>
      <c r="AZ266" s="246">
        <f t="shared" si="226"/>
        <v>15.893271461716935</v>
      </c>
      <c r="BA266" s="246">
        <f t="shared" si="226"/>
        <v>7.407407407407419</v>
      </c>
    </row>
    <row r="267" spans="10:58" ht="15.75" thickBot="1" x14ac:dyDescent="0.3">
      <c r="K267" s="1"/>
      <c r="W267" s="1"/>
      <c r="AA267" s="1"/>
      <c r="AB267" s="1"/>
      <c r="AC267" s="1"/>
      <c r="AD267" s="1"/>
      <c r="AE267" s="1"/>
      <c r="AF267" s="1"/>
      <c r="AG267" s="1"/>
      <c r="AH267" s="1"/>
      <c r="AI267" s="1"/>
      <c r="AK267" s="493" t="s">
        <v>343</v>
      </c>
      <c r="AL267" s="365">
        <f>AP236/AO236*100-100</f>
        <v>-18.884356546138306</v>
      </c>
      <c r="AM267" s="365">
        <f t="shared" si="225"/>
        <v>-8.6072679816249007</v>
      </c>
      <c r="AN267" s="365">
        <f t="shared" si="225"/>
        <v>30.843808237044669</v>
      </c>
      <c r="AO267" s="365">
        <f t="shared" si="225"/>
        <v>13.714807287471501</v>
      </c>
      <c r="AP267" s="365">
        <f>AU236/AS236*100-100</f>
        <v>-10.573444340785315</v>
      </c>
      <c r="AQ267" s="365">
        <f>AV236/AU236*100-100</f>
        <v>-14.828160026405186</v>
      </c>
      <c r="AR267" s="365">
        <f t="shared" si="226"/>
        <v>23.888682566081613</v>
      </c>
      <c r="AS267" s="365">
        <f t="shared" si="226"/>
        <v>12.939635453662717</v>
      </c>
      <c r="AT267" s="365">
        <f t="shared" si="226"/>
        <v>-6.0355323212564969</v>
      </c>
      <c r="AU267" s="365">
        <f t="shared" si="226"/>
        <v>-7.273698625089807</v>
      </c>
      <c r="AV267" s="365">
        <f t="shared" si="226"/>
        <v>9.0786876995006622</v>
      </c>
      <c r="AW267" s="538">
        <f t="shared" si="226"/>
        <v>2.6847022967500607</v>
      </c>
      <c r="AX267" s="538">
        <f t="shared" si="226"/>
        <v>1.851205855746656</v>
      </c>
      <c r="AY267" s="538">
        <f t="shared" si="226"/>
        <v>-15.003134723447729</v>
      </c>
      <c r="AZ267" s="538">
        <f t="shared" si="226"/>
        <v>7.2552059500474684</v>
      </c>
      <c r="BA267" s="538">
        <f t="shared" si="226"/>
        <v>-3.5761133964162468</v>
      </c>
    </row>
    <row r="268" spans="10:58" ht="15.75" thickBot="1" x14ac:dyDescent="0.3">
      <c r="K268" s="94" t="s">
        <v>416</v>
      </c>
      <c r="L268" s="94" t="s">
        <v>4</v>
      </c>
      <c r="M268" s="94" t="s">
        <v>8</v>
      </c>
      <c r="N268" s="75" t="s">
        <v>13</v>
      </c>
      <c r="O268" s="94" t="s">
        <v>17</v>
      </c>
      <c r="P268" s="97" t="s">
        <v>201</v>
      </c>
      <c r="AK268" s="431" t="s">
        <v>417</v>
      </c>
      <c r="AL268" s="496">
        <f>AP239/AO239*100-100</f>
        <v>-18.825639580089771</v>
      </c>
      <c r="AM268" s="496">
        <f t="shared" ref="AM268:AO268" si="227">AQ239/AP239*100-100</f>
        <v>-8.6027995349310942</v>
      </c>
      <c r="AN268" s="496">
        <f t="shared" si="227"/>
        <v>31.22802737806839</v>
      </c>
      <c r="AO268" s="496">
        <f t="shared" si="227"/>
        <v>13.225367404312394</v>
      </c>
      <c r="AP268" s="496">
        <f>AU239/AS239*100-100</f>
        <v>-9.9481119717994488</v>
      </c>
      <c r="AQ268" s="496">
        <f>AV239/AU239*100-100</f>
        <v>-15.42889298692846</v>
      </c>
      <c r="AR268" s="496">
        <f t="shared" ref="AR268:BA268" si="228">AW239/AV239*100-100</f>
        <v>23.713513816849584</v>
      </c>
      <c r="AS268" s="496">
        <f t="shared" si="228"/>
        <v>14.437625956622327</v>
      </c>
      <c r="AT268" s="496">
        <f t="shared" si="228"/>
        <v>-7.0764840118007442</v>
      </c>
      <c r="AU268" s="496">
        <f t="shared" si="228"/>
        <v>-7.1796809301531965</v>
      </c>
      <c r="AV268" s="496">
        <f t="shared" si="228"/>
        <v>9.0500262605041968</v>
      </c>
      <c r="AW268" s="433">
        <f t="shared" si="228"/>
        <v>2.9788386863730807</v>
      </c>
      <c r="AX268" s="433">
        <f t="shared" si="228"/>
        <v>1.7515039198377167</v>
      </c>
      <c r="AY268" s="433">
        <f t="shared" si="228"/>
        <v>-14.884314187384021</v>
      </c>
      <c r="AZ268" s="433">
        <f t="shared" si="228"/>
        <v>7.355730611638748</v>
      </c>
      <c r="BA268" s="433">
        <f t="shared" si="228"/>
        <v>-3.438128772635821</v>
      </c>
    </row>
    <row r="269" spans="10:58" ht="15.75" thickBot="1" x14ac:dyDescent="0.3">
      <c r="J269" s="374" t="s">
        <v>24</v>
      </c>
      <c r="K269" s="150">
        <v>441236</v>
      </c>
      <c r="L269" s="150">
        <v>605040</v>
      </c>
      <c r="M269" s="150">
        <v>619121</v>
      </c>
      <c r="N269" s="378">
        <v>684562</v>
      </c>
      <c r="O269" s="150">
        <v>733132.07</v>
      </c>
      <c r="P269" s="587">
        <v>814469</v>
      </c>
      <c r="AA269" s="27"/>
      <c r="AB269" s="27"/>
      <c r="AC269" s="27"/>
      <c r="AD269" s="27"/>
      <c r="AE269" s="27"/>
      <c r="AF269" s="27"/>
      <c r="AG269" s="27"/>
      <c r="AH269" s="27"/>
      <c r="AI269" s="27"/>
    </row>
    <row r="270" spans="10:58" ht="15.75" thickBot="1" x14ac:dyDescent="0.3">
      <c r="J270" s="383" t="s">
        <v>25</v>
      </c>
      <c r="K270" s="39">
        <v>383821</v>
      </c>
      <c r="L270" s="39">
        <v>392750</v>
      </c>
      <c r="M270" s="39">
        <v>453423</v>
      </c>
      <c r="N270" s="272">
        <v>520449</v>
      </c>
      <c r="O270" s="39">
        <v>559144.64</v>
      </c>
      <c r="P270" s="588">
        <v>620729</v>
      </c>
      <c r="Q270" s="1"/>
      <c r="AA270" s="27"/>
      <c r="AB270" s="27"/>
      <c r="AC270" s="27"/>
      <c r="AD270" s="27"/>
      <c r="AE270" s="27"/>
      <c r="AF270" s="27"/>
      <c r="AG270" s="27"/>
      <c r="AH270" s="27"/>
      <c r="AI270" s="27"/>
    </row>
    <row r="271" spans="10:58" ht="15.75" customHeight="1" thickBot="1" x14ac:dyDescent="0.35">
      <c r="J271" s="390" t="s">
        <v>26</v>
      </c>
      <c r="K271" s="392">
        <v>825056</v>
      </c>
      <c r="L271" s="392">
        <v>997791</v>
      </c>
      <c r="M271" s="392">
        <v>1072544</v>
      </c>
      <c r="N271" s="392">
        <v>1205011</v>
      </c>
      <c r="O271" s="392">
        <v>1292276.71</v>
      </c>
      <c r="P271" s="589">
        <v>1435198</v>
      </c>
      <c r="AK271" s="1112" t="s">
        <v>418</v>
      </c>
      <c r="AL271" s="1113"/>
      <c r="AM271" s="1113"/>
      <c r="AN271" s="1113"/>
      <c r="AO271" s="1113"/>
      <c r="AP271" s="1113"/>
      <c r="AQ271" s="1113"/>
      <c r="AR271" s="1113"/>
      <c r="AS271" s="1113"/>
      <c r="AT271" s="1113"/>
      <c r="AU271" s="1113"/>
      <c r="AV271" s="1113"/>
      <c r="AW271" s="1113"/>
      <c r="AX271" s="1113"/>
      <c r="AY271" s="1113"/>
      <c r="AZ271" s="1113"/>
      <c r="BA271" s="1113"/>
      <c r="BB271" s="1113"/>
      <c r="BC271" s="1113"/>
      <c r="BD271" s="1113"/>
      <c r="BE271" s="1113"/>
      <c r="BF271" s="1114"/>
    </row>
    <row r="272" spans="10:58" ht="15.75" thickBot="1" x14ac:dyDescent="0.3">
      <c r="AS272" s="1"/>
      <c r="AV272" s="1"/>
      <c r="AW272" s="1"/>
    </row>
    <row r="273" spans="10:58" ht="15.75" thickBot="1" x14ac:dyDescent="0.3">
      <c r="K273" s="94" t="s">
        <v>416</v>
      </c>
      <c r="L273" s="94" t="s">
        <v>4</v>
      </c>
      <c r="M273" s="94" t="s">
        <v>8</v>
      </c>
      <c r="N273" s="73" t="s">
        <v>13</v>
      </c>
      <c r="O273" s="94" t="s">
        <v>17</v>
      </c>
      <c r="P273" s="172" t="s">
        <v>201</v>
      </c>
      <c r="AK273" s="67" t="s">
        <v>67</v>
      </c>
      <c r="AL273" s="77" t="s">
        <v>0</v>
      </c>
      <c r="AM273" s="31" t="s">
        <v>1</v>
      </c>
      <c r="AN273" s="31" t="s">
        <v>2</v>
      </c>
      <c r="AO273" s="31" t="s">
        <v>3</v>
      </c>
      <c r="AP273" s="31" t="s">
        <v>4</v>
      </c>
      <c r="AQ273" s="31" t="s">
        <v>5</v>
      </c>
      <c r="AR273" s="31" t="s">
        <v>6</v>
      </c>
      <c r="AS273" s="31" t="s">
        <v>7</v>
      </c>
      <c r="AT273" s="31" t="s">
        <v>27</v>
      </c>
      <c r="AU273" s="31" t="s">
        <v>9</v>
      </c>
      <c r="AV273" s="31" t="s">
        <v>10</v>
      </c>
      <c r="AW273" s="79" t="s">
        <v>11</v>
      </c>
      <c r="AX273" s="35" t="s">
        <v>12</v>
      </c>
      <c r="AY273" s="35" t="s">
        <v>13</v>
      </c>
      <c r="AZ273" s="35" t="s">
        <v>14</v>
      </c>
      <c r="BA273" s="368" t="s">
        <v>15</v>
      </c>
      <c r="BB273" s="35" t="s">
        <v>16</v>
      </c>
      <c r="BC273" s="526" t="s">
        <v>298</v>
      </c>
      <c r="BD273" s="526" t="s">
        <v>299</v>
      </c>
      <c r="BE273" s="31" t="s">
        <v>300</v>
      </c>
      <c r="BF273" s="509" t="s">
        <v>203</v>
      </c>
    </row>
    <row r="274" spans="10:58" x14ac:dyDescent="0.25">
      <c r="J274" s="24" t="s">
        <v>399</v>
      </c>
      <c r="K274" s="562">
        <v>108.687</v>
      </c>
      <c r="L274" s="562">
        <v>292.25400000000002</v>
      </c>
      <c r="M274" s="563">
        <v>317.654</v>
      </c>
      <c r="N274" s="563">
        <v>334.36</v>
      </c>
      <c r="O274" s="562">
        <v>340.81373000000002</v>
      </c>
      <c r="P274" s="590">
        <v>362.28800000000001</v>
      </c>
      <c r="AK274" s="279" t="s">
        <v>34</v>
      </c>
      <c r="AL274" s="539">
        <f>'[15]2016. I. - Állományi'!F14+'[15]2016. I. - Állományi'!K14</f>
        <v>13110.749823259999</v>
      </c>
      <c r="AM274" s="359">
        <f>'[15]2016. II. - Állományi'!F14+'[15]2016. II. - Állományi'!K14</f>
        <v>15470.310723999999</v>
      </c>
      <c r="AN274" s="359">
        <f>'[15]2016. III. - Állományi'!F14+'[15]2016. III. - Állományi'!K14</f>
        <v>20114.235660999999</v>
      </c>
      <c r="AO274" s="359">
        <f>'[15]2016. IV.- Állományi'!F14+'[15]2016. IV.- Állományi'!K14</f>
        <v>25356.130211</v>
      </c>
      <c r="AP274" s="359">
        <f>'[15]2017. I. - Állományi'!F14+'[15]2017. I. - Állományi'!K14</f>
        <v>26541.646787999998</v>
      </c>
      <c r="AQ274" s="359">
        <f>'[15]2017. II. - Állományi'!F14+'[15]2017. II. - Állományi'!K14</f>
        <v>31292.755927999999</v>
      </c>
      <c r="AR274" s="359">
        <f>'[15]2017. III. - Állományi'!F14+'[15]2017. III. - Állományi'!K14</f>
        <v>27254.044543</v>
      </c>
      <c r="AS274" s="359">
        <f>'[15]2017. IV. - Állományi'!F14+'[15]2017. IV. - Állományi'!K14</f>
        <v>29665.92626</v>
      </c>
      <c r="AT274" s="359">
        <f>'[15]2018. I. - Állományi_R'!F14+'[15]2018. I. - Állományi_R'!K14</f>
        <v>34801</v>
      </c>
      <c r="AU274" s="359">
        <f>'[15]2018. I. - Állományi_Új'!F14+'[15]2018. I. - Állományi_Új'!K14</f>
        <v>34801</v>
      </c>
      <c r="AV274" s="359">
        <f>'[15]2018. II. - Állományi_Új'!F14+'[15]2018. II. - Állományi_Új'!K14</f>
        <v>42102</v>
      </c>
      <c r="AW274" s="360">
        <f>'[15]2018. III. - Állományi_Új'!F14+'[15]2018. III. - Állományi_Új'!K14</f>
        <v>40298</v>
      </c>
      <c r="AX274" s="360">
        <f>'[15]2018. IV. - Állományi_Új'!F14+'[15]2018. IV. - Állományi_Új'!K14</f>
        <v>41875</v>
      </c>
      <c r="AY274" s="80">
        <v>41159</v>
      </c>
      <c r="AZ274" s="81">
        <v>38871</v>
      </c>
      <c r="BA274" s="360">
        <v>29535</v>
      </c>
      <c r="BB274" s="359">
        <f>'[15]2019. IV. Állomány adatok'!H17+'[15]2019. IV. Állomány adatok'!M17</f>
        <v>21154</v>
      </c>
      <c r="BC274" s="539">
        <f>'[15]2020. I. Állomány adatok'!H18+'[15]2020. I. Állomány adatok'!M18</f>
        <v>21951</v>
      </c>
      <c r="BD274" s="539">
        <f>'[15]2020. II. Állományi adatok'!H18+'[15]2020. II. Állományi adatok'!M18</f>
        <v>23884</v>
      </c>
      <c r="BE274" s="359">
        <f>'[15]2020. III. Állományi adatok'!H18+'[15]2020. III. Állományi adatok'!M18</f>
        <v>24163</v>
      </c>
      <c r="BF274" s="443">
        <f>'[15]2020. IV. Állományi adatok'!H18+'[15]2020. IV. Állományi adatok'!M18</f>
        <v>21896</v>
      </c>
    </row>
    <row r="275" spans="10:58" ht="15.75" thickBot="1" x14ac:dyDescent="0.3">
      <c r="J275" s="25" t="s">
        <v>406</v>
      </c>
      <c r="K275" s="562">
        <v>332.54899999999998</v>
      </c>
      <c r="L275" s="562">
        <v>312.786</v>
      </c>
      <c r="M275" s="563">
        <v>301.46699999999998</v>
      </c>
      <c r="N275" s="562">
        <v>350.202</v>
      </c>
      <c r="O275" s="591">
        <v>392.31833999999998</v>
      </c>
      <c r="P275" s="592">
        <v>452.18099999999998</v>
      </c>
      <c r="AK275" s="361" t="s">
        <v>35</v>
      </c>
      <c r="AL275" s="540">
        <f>'[15]2016. I. - Állományi'!F53+'[15]2016. I. - Állományi'!K53</f>
        <v>28537.346824</v>
      </c>
      <c r="AM275" s="282">
        <f>'[15]2016. II. - Állományi'!F53+'[15]2016. II. - Állományi'!K53</f>
        <v>29672.771107</v>
      </c>
      <c r="AN275" s="282">
        <f>'[15]2016. III. - Állományi'!F53+'[15]2016. III. - Állományi'!K53</f>
        <v>31395.093483000001</v>
      </c>
      <c r="AO275" s="282">
        <f>'[15]2016. IV.- Állományi'!F53+'[15]2016. IV.- Állományi'!K53</f>
        <v>33637.978020000002</v>
      </c>
      <c r="AP275" s="282">
        <f>'[15]2017. I. - Állományi'!F53+'[15]2017. I. - Állományi'!K53</f>
        <v>31444.975494210001</v>
      </c>
      <c r="AQ275" s="282">
        <f>'[15]2017. II. - Állományi'!F53+'[15]2017. II. - Állományi'!K53</f>
        <v>33686.822477940004</v>
      </c>
      <c r="AR275" s="282">
        <f>'[15]2017. III. - Állományi'!F53+'[15]2017. III. - Állományi'!K53</f>
        <v>26008.288485999998</v>
      </c>
      <c r="AS275" s="282">
        <f>'[15]2017. IV. - Állományi'!F53+'[15]2017. IV. - Állományi'!K53</f>
        <v>22723.32762</v>
      </c>
      <c r="AT275" s="282">
        <f>'[15]2018. I. - Állományi_R'!F54+'[15]2018. I. - Állományi_R'!K54</f>
        <v>32839</v>
      </c>
      <c r="AU275" s="282">
        <f>'[15]2018. I. - Állományi_Új'!F54+'[15]2018. I. - Állományi_Új'!K54</f>
        <v>32839</v>
      </c>
      <c r="AV275" s="282">
        <f>'[15]2018. II. - Állományi_Új'!F54+'[15]2018. II. - Állományi_Új'!K54</f>
        <v>34978</v>
      </c>
      <c r="AW275" s="283">
        <f>'[15]2018. III. - Állományi_Új'!F54+'[15]2018. III. - Állományi_Új'!K54</f>
        <v>33030</v>
      </c>
      <c r="AX275" s="283">
        <f>'[15]2018. IV. - Állományi_Új'!F54+'[15]2018. IV. - Állományi_Új'!K54</f>
        <v>33130</v>
      </c>
      <c r="AY275" s="282">
        <v>26197</v>
      </c>
      <c r="AZ275" s="283">
        <v>29171</v>
      </c>
      <c r="BA275" s="283">
        <v>28099</v>
      </c>
      <c r="BB275" s="282">
        <f>'[15]2019. IV. Állomány adatok'!H59+'[15]2019. IV. Állomány adatok'!M59</f>
        <v>27010</v>
      </c>
      <c r="BC275" s="540">
        <f>'[15]2020. I. Állomány adatok'!H65+'[15]2020. I. Állomány adatok'!M65</f>
        <v>26869</v>
      </c>
      <c r="BD275" s="540">
        <f>'[15]2020. II. Állományi adatok'!H65+'[15]2020. II. Állományi adatok'!M65</f>
        <v>27257</v>
      </c>
      <c r="BE275" s="282">
        <f>'[15]2020. III. Állományi adatok'!H65+'[15]2020. III. Állományi adatok'!M65</f>
        <v>30194</v>
      </c>
      <c r="BF275" s="445">
        <f>'[15]2020. IV. Állományi adatok'!H65+'[15]2020. IV. Állományi adatok'!M65</f>
        <v>29020</v>
      </c>
    </row>
    <row r="276" spans="10:58" x14ac:dyDescent="0.25">
      <c r="AK276" s="510" t="s">
        <v>419</v>
      </c>
      <c r="AL276" s="231">
        <f t="shared" ref="AL276:BF276" si="229">AL274/AL278*100</f>
        <v>31.479829520906922</v>
      </c>
      <c r="AM276" s="232">
        <f t="shared" si="229"/>
        <v>34.269505085885498</v>
      </c>
      <c r="AN276" s="232">
        <f t="shared" si="229"/>
        <v>39.049694483048761</v>
      </c>
      <c r="AO276" s="232">
        <f t="shared" si="229"/>
        <v>42.980783965263761</v>
      </c>
      <c r="AP276" s="232">
        <f t="shared" si="229"/>
        <v>45.772017309142079</v>
      </c>
      <c r="AQ276" s="232">
        <f t="shared" si="229"/>
        <v>48.157831576727226</v>
      </c>
      <c r="AR276" s="232">
        <f t="shared" si="229"/>
        <v>51.169453144609456</v>
      </c>
      <c r="AS276" s="232">
        <f t="shared" si="229"/>
        <v>56.625975868927569</v>
      </c>
      <c r="AT276" s="232">
        <f t="shared" si="229"/>
        <v>51.450325251330575</v>
      </c>
      <c r="AU276" s="232">
        <f t="shared" si="229"/>
        <v>51.450325251330575</v>
      </c>
      <c r="AV276" s="232">
        <f t="shared" si="229"/>
        <v>54.621172807472753</v>
      </c>
      <c r="AW276" s="232">
        <f t="shared" si="229"/>
        <v>54.955814968361338</v>
      </c>
      <c r="AX276" s="232">
        <f t="shared" si="229"/>
        <v>55.829611359242712</v>
      </c>
      <c r="AY276" s="232">
        <f t="shared" si="229"/>
        <v>61.106657164914779</v>
      </c>
      <c r="AZ276" s="399">
        <f t="shared" si="229"/>
        <v>57.127950383586615</v>
      </c>
      <c r="BA276" s="399">
        <f t="shared" si="229"/>
        <v>51.245792414199954</v>
      </c>
      <c r="BB276" s="232">
        <f t="shared" si="229"/>
        <v>43.920770700107965</v>
      </c>
      <c r="BC276" s="232">
        <f t="shared" si="229"/>
        <v>44.963129864809503</v>
      </c>
      <c r="BD276" s="232">
        <f t="shared" si="229"/>
        <v>46.702254551142921</v>
      </c>
      <c r="BE276" s="232">
        <f t="shared" si="229"/>
        <v>44.452416432106261</v>
      </c>
      <c r="BF276" s="232">
        <f t="shared" si="229"/>
        <v>43.004163720637912</v>
      </c>
    </row>
    <row r="277" spans="10:58" ht="15.75" thickBot="1" x14ac:dyDescent="0.3">
      <c r="AK277" s="290" t="s">
        <v>420</v>
      </c>
      <c r="AL277" s="511">
        <f>AL275/AL278*100</f>
        <v>68.520170479093082</v>
      </c>
      <c r="AM277" s="512">
        <f t="shared" ref="AM277:BF277" si="230">AM275/AM278*100</f>
        <v>65.730494914114487</v>
      </c>
      <c r="AN277" s="512">
        <f t="shared" si="230"/>
        <v>60.950305516951232</v>
      </c>
      <c r="AO277" s="512">
        <f t="shared" si="230"/>
        <v>57.019216034736232</v>
      </c>
      <c r="AP277" s="512">
        <f t="shared" si="230"/>
        <v>54.227982690857921</v>
      </c>
      <c r="AQ277" s="512">
        <f t="shared" si="230"/>
        <v>51.842168423272774</v>
      </c>
      <c r="AR277" s="512">
        <f t="shared" si="230"/>
        <v>48.830546855390537</v>
      </c>
      <c r="AS277" s="512">
        <f t="shared" si="230"/>
        <v>43.374024131072431</v>
      </c>
      <c r="AT277" s="512">
        <f t="shared" si="230"/>
        <v>48.549674748669425</v>
      </c>
      <c r="AU277" s="512">
        <f t="shared" si="230"/>
        <v>48.549674748669425</v>
      </c>
      <c r="AV277" s="512">
        <f t="shared" si="230"/>
        <v>45.378827192527247</v>
      </c>
      <c r="AW277" s="512">
        <f t="shared" si="230"/>
        <v>45.044185031638669</v>
      </c>
      <c r="AX277" s="512">
        <f t="shared" si="230"/>
        <v>44.170388640757288</v>
      </c>
      <c r="AY277" s="512">
        <f t="shared" si="230"/>
        <v>38.893342835085221</v>
      </c>
      <c r="AZ277" s="513">
        <f t="shared" si="230"/>
        <v>42.872049616413392</v>
      </c>
      <c r="BA277" s="513">
        <f t="shared" si="230"/>
        <v>48.754207585800046</v>
      </c>
      <c r="BB277" s="512">
        <f t="shared" si="230"/>
        <v>56.079229299892027</v>
      </c>
      <c r="BC277" s="512">
        <f t="shared" si="230"/>
        <v>55.036870135190497</v>
      </c>
      <c r="BD277" s="512">
        <f t="shared" si="230"/>
        <v>53.297745448857079</v>
      </c>
      <c r="BE277" s="512">
        <f t="shared" si="230"/>
        <v>55.547583567893746</v>
      </c>
      <c r="BF277" s="512">
        <f t="shared" si="230"/>
        <v>56.995836279362088</v>
      </c>
    </row>
    <row r="278" spans="10:58" x14ac:dyDescent="0.25">
      <c r="AK278" s="452" t="s">
        <v>421</v>
      </c>
      <c r="AL278" s="515">
        <f t="shared" ref="AL278:BF278" si="231">AL274+AL275</f>
        <v>41648.096647259998</v>
      </c>
      <c r="AM278" s="516">
        <f t="shared" si="231"/>
        <v>45143.081831000003</v>
      </c>
      <c r="AN278" s="516">
        <f t="shared" si="231"/>
        <v>51509.329144000003</v>
      </c>
      <c r="AO278" s="516">
        <f t="shared" si="231"/>
        <v>58994.108231000006</v>
      </c>
      <c r="AP278" s="516">
        <f t="shared" si="231"/>
        <v>57986.622282209995</v>
      </c>
      <c r="AQ278" s="516">
        <f t="shared" si="231"/>
        <v>64979.578405940003</v>
      </c>
      <c r="AR278" s="516">
        <f t="shared" si="231"/>
        <v>53262.333029000001</v>
      </c>
      <c r="AS278" s="516">
        <f t="shared" si="231"/>
        <v>52389.253880000004</v>
      </c>
      <c r="AT278" s="516">
        <f t="shared" si="231"/>
        <v>67640</v>
      </c>
      <c r="AU278" s="516">
        <f t="shared" si="231"/>
        <v>67640</v>
      </c>
      <c r="AV278" s="516">
        <f t="shared" si="231"/>
        <v>77080</v>
      </c>
      <c r="AW278" s="517">
        <f t="shared" si="231"/>
        <v>73328</v>
      </c>
      <c r="AX278" s="517">
        <f t="shared" si="231"/>
        <v>75005</v>
      </c>
      <c r="AY278" s="517">
        <f t="shared" si="231"/>
        <v>67356</v>
      </c>
      <c r="AZ278" s="517">
        <f t="shared" si="231"/>
        <v>68042</v>
      </c>
      <c r="BA278" s="517">
        <f t="shared" si="231"/>
        <v>57634</v>
      </c>
      <c r="BB278" s="516">
        <f t="shared" si="231"/>
        <v>48164</v>
      </c>
      <c r="BC278" s="544">
        <f t="shared" si="231"/>
        <v>48820</v>
      </c>
      <c r="BD278" s="544">
        <f t="shared" si="231"/>
        <v>51141</v>
      </c>
      <c r="BE278" s="516">
        <f t="shared" si="231"/>
        <v>54357</v>
      </c>
      <c r="BF278" s="516">
        <f t="shared" si="231"/>
        <v>50916</v>
      </c>
    </row>
    <row r="279" spans="10:58" x14ac:dyDescent="0.25">
      <c r="AK279" s="448" t="s">
        <v>422</v>
      </c>
      <c r="AL279" s="519">
        <f>AL278/AL280*100</f>
        <v>9.4389616094924254</v>
      </c>
      <c r="AM279" s="521">
        <f>AM278/AM280*100</f>
        <v>9.8494713047367615</v>
      </c>
      <c r="AN279" s="521">
        <f>AN278/AN280*100</f>
        <v>10.12420625739523</v>
      </c>
      <c r="AO279" s="521">
        <f t="shared" ref="AO279:AX279" si="232">AO278/AO280*100</f>
        <v>10.473876294895696</v>
      </c>
      <c r="AP279" s="521">
        <f t="shared" si="232"/>
        <v>9.5839320180831002</v>
      </c>
      <c r="AQ279" s="521">
        <f t="shared" si="232"/>
        <v>10.43882187474939</v>
      </c>
      <c r="AR279" s="521">
        <f t="shared" si="232"/>
        <v>8.2612611022701188</v>
      </c>
      <c r="AS279" s="521">
        <f t="shared" si="232"/>
        <v>8.5791339978613266</v>
      </c>
      <c r="AT279" s="521">
        <f t="shared" si="232"/>
        <v>11.654674275632013</v>
      </c>
      <c r="AU279" s="521">
        <f t="shared" si="232"/>
        <v>10.925166486034232</v>
      </c>
      <c r="AV279" s="521">
        <f t="shared" si="232"/>
        <v>11.955800145182005</v>
      </c>
      <c r="AW279" s="521">
        <f t="shared" si="232"/>
        <v>10.987048324553045</v>
      </c>
      <c r="AX279" s="521">
        <f t="shared" si="232"/>
        <v>12.011370005604933</v>
      </c>
      <c r="AY279" s="521">
        <f>AY278/AY280*100</f>
        <v>9.83928409698464</v>
      </c>
      <c r="AZ279" s="593">
        <f>AZ278/AZ280*100</f>
        <v>9.4161051627911476</v>
      </c>
      <c r="BA279" s="594">
        <f>BA278/BA280*100</f>
        <v>7.7203868096774748</v>
      </c>
      <c r="BB279" s="595">
        <f>BB278/BB280*100</f>
        <v>6.6081549604380561</v>
      </c>
      <c r="BC279" s="595">
        <f t="shared" ref="BC279:BF279" si="233">BC278/BC280*100</f>
        <v>6.6591003173548255</v>
      </c>
      <c r="BD279" s="595">
        <f t="shared" si="233"/>
        <v>6.5934873502666873</v>
      </c>
      <c r="BE279" s="521">
        <f t="shared" si="233"/>
        <v>6.6899770342418714</v>
      </c>
      <c r="BF279" s="521">
        <f t="shared" si="233"/>
        <v>6.2479522605203188</v>
      </c>
    </row>
    <row r="280" spans="10:58" x14ac:dyDescent="0.25">
      <c r="AK280" s="452" t="s">
        <v>36</v>
      </c>
      <c r="AL280" s="524">
        <v>441236</v>
      </c>
      <c r="AM280" s="304">
        <v>458330</v>
      </c>
      <c r="AN280" s="304">
        <v>508774</v>
      </c>
      <c r="AO280" s="304">
        <v>563250</v>
      </c>
      <c r="AP280" s="304">
        <v>605040</v>
      </c>
      <c r="AQ280" s="304">
        <v>622480</v>
      </c>
      <c r="AR280" s="304">
        <v>644724</v>
      </c>
      <c r="AS280" s="304">
        <v>610659</v>
      </c>
      <c r="AT280" s="304">
        <v>580368</v>
      </c>
      <c r="AU280" s="304">
        <v>619121</v>
      </c>
      <c r="AV280" s="304">
        <v>644708</v>
      </c>
      <c r="AW280" s="305">
        <v>667404</v>
      </c>
      <c r="AX280" s="305">
        <v>624450</v>
      </c>
      <c r="AY280" s="304">
        <v>684562</v>
      </c>
      <c r="AZ280" s="305">
        <v>722613</v>
      </c>
      <c r="BA280" s="305">
        <v>746517</v>
      </c>
      <c r="BB280" s="304">
        <v>728857</v>
      </c>
      <c r="BC280" s="453">
        <v>733132.07</v>
      </c>
      <c r="BD280" s="304">
        <v>775629</v>
      </c>
      <c r="BE280" s="453">
        <v>812514</v>
      </c>
      <c r="BF280" s="455">
        <v>814923</v>
      </c>
    </row>
    <row r="281" spans="10:58" x14ac:dyDescent="0.25">
      <c r="AK281" s="25" t="s">
        <v>423</v>
      </c>
      <c r="AL281" s="456">
        <v>0</v>
      </c>
      <c r="AM281" s="14">
        <f t="shared" ref="AM281:AX281" si="234">AM278/AL278*100-100</f>
        <v>8.391704459728146</v>
      </c>
      <c r="AN281" s="14">
        <f t="shared" si="234"/>
        <v>14.102376388109732</v>
      </c>
      <c r="AO281" s="14">
        <f t="shared" si="234"/>
        <v>14.530919372052935</v>
      </c>
      <c r="AP281" s="14">
        <f t="shared" si="234"/>
        <v>-1.7077738421692175</v>
      </c>
      <c r="AQ281" s="14">
        <f t="shared" si="234"/>
        <v>12.059602453987765</v>
      </c>
      <c r="AR281" s="14">
        <f t="shared" si="234"/>
        <v>-18.032196675300199</v>
      </c>
      <c r="AS281" s="14">
        <f t="shared" si="234"/>
        <v>-1.6392056061919504</v>
      </c>
      <c r="AT281" s="14">
        <f t="shared" si="234"/>
        <v>29.110447258769</v>
      </c>
      <c r="AU281" s="14">
        <f t="shared" si="234"/>
        <v>0</v>
      </c>
      <c r="AV281" s="14">
        <f t="shared" si="234"/>
        <v>13.956238911886459</v>
      </c>
      <c r="AW281" s="29">
        <f t="shared" si="234"/>
        <v>-4.8676699532952767</v>
      </c>
      <c r="AX281" s="29">
        <f t="shared" si="234"/>
        <v>2.2869845079642062</v>
      </c>
      <c r="AY281" s="29">
        <f>AY278/AW278*100-100</f>
        <v>-8.1442286711760943</v>
      </c>
      <c r="AZ281" s="29">
        <f t="shared" ref="AZ281:BD281" si="235">AZ278/AY278*100-100</f>
        <v>1.0184690302274362</v>
      </c>
      <c r="BA281" s="29">
        <f t="shared" si="235"/>
        <v>-15.296434555127718</v>
      </c>
      <c r="BB281" s="14">
        <f t="shared" si="235"/>
        <v>-16.431273206787651</v>
      </c>
      <c r="BC281" s="14">
        <f t="shared" si="235"/>
        <v>1.3620131218337264</v>
      </c>
      <c r="BD281" s="14">
        <f t="shared" si="235"/>
        <v>4.7541990987300267</v>
      </c>
      <c r="BE281" s="14">
        <f>BE278/BD278*100-100</f>
        <v>6.2884965096498036</v>
      </c>
      <c r="BF281" s="14">
        <f>BF278/BE278*100-100</f>
        <v>-6.3303714333020622</v>
      </c>
    </row>
    <row r="282" spans="10:58" x14ac:dyDescent="0.25">
      <c r="AK282" s="15" t="s">
        <v>312</v>
      </c>
      <c r="AL282" s="458">
        <f t="shared" ref="AL282:BD282" si="236">AL274/AL280*100</f>
        <v>2.971369023212068</v>
      </c>
      <c r="AM282" s="458">
        <f t="shared" si="236"/>
        <v>3.3753650697095976</v>
      </c>
      <c r="AN282" s="458">
        <f t="shared" si="236"/>
        <v>3.9534716123465423</v>
      </c>
      <c r="AO282" s="458">
        <f t="shared" si="236"/>
        <v>4.5017541430980916</v>
      </c>
      <c r="AP282" s="458">
        <f t="shared" si="236"/>
        <v>4.3867590222134076</v>
      </c>
      <c r="AQ282" s="458">
        <f t="shared" si="236"/>
        <v>5.0271102570363704</v>
      </c>
      <c r="AR282" s="458">
        <f t="shared" si="236"/>
        <v>4.2272421288799551</v>
      </c>
      <c r="AS282" s="458">
        <f t="shared" si="236"/>
        <v>4.8580183473919156</v>
      </c>
      <c r="AT282" s="458">
        <f t="shared" si="236"/>
        <v>5.9963678217958263</v>
      </c>
      <c r="AU282" s="458">
        <f t="shared" si="236"/>
        <v>5.6210336913139756</v>
      </c>
      <c r="AV282" s="458">
        <f t="shared" si="236"/>
        <v>6.5303982578159419</v>
      </c>
      <c r="AW282" s="459">
        <f t="shared" si="236"/>
        <v>6.0380219477258157</v>
      </c>
      <c r="AX282" s="459">
        <f t="shared" si="236"/>
        <v>6.7059011930498835</v>
      </c>
      <c r="AY282" s="459">
        <f t="shared" si="236"/>
        <v>6.0124576006263855</v>
      </c>
      <c r="AZ282" s="459">
        <f t="shared" si="236"/>
        <v>5.3792278854656645</v>
      </c>
      <c r="BA282" s="29">
        <f t="shared" si="236"/>
        <v>3.9563733980605935</v>
      </c>
      <c r="BB282" s="14">
        <f t="shared" si="236"/>
        <v>2.9023525876818086</v>
      </c>
      <c r="BC282" s="14">
        <f t="shared" si="236"/>
        <v>2.994139923520192</v>
      </c>
      <c r="BD282" s="14">
        <f t="shared" si="236"/>
        <v>3.0793072461189563</v>
      </c>
      <c r="BE282" s="14">
        <f>BE274/BE280*100</f>
        <v>2.9738564504734688</v>
      </c>
      <c r="BF282" s="14">
        <f>BF274/BF280*100</f>
        <v>2.6868796193014557</v>
      </c>
    </row>
    <row r="283" spans="10:58" ht="15.75" thickBot="1" x14ac:dyDescent="0.3">
      <c r="AK283" s="15" t="s">
        <v>313</v>
      </c>
      <c r="AL283" s="458">
        <f t="shared" ref="AL283:BD283" si="237">AL275/AL280*100</f>
        <v>6.4675925862803574</v>
      </c>
      <c r="AM283" s="458">
        <f t="shared" si="237"/>
        <v>6.474106235027163</v>
      </c>
      <c r="AN283" s="458">
        <f t="shared" si="237"/>
        <v>6.170734645048686</v>
      </c>
      <c r="AO283" s="458">
        <f t="shared" si="237"/>
        <v>5.9721221517976035</v>
      </c>
      <c r="AP283" s="458">
        <f t="shared" si="237"/>
        <v>5.1971729958696953</v>
      </c>
      <c r="AQ283" s="458">
        <f t="shared" si="237"/>
        <v>5.4117116177130198</v>
      </c>
      <c r="AR283" s="458">
        <f t="shared" si="237"/>
        <v>4.0340189733901628</v>
      </c>
      <c r="AS283" s="458">
        <f t="shared" si="237"/>
        <v>3.721115650469411</v>
      </c>
      <c r="AT283" s="458">
        <f t="shared" si="237"/>
        <v>5.658306453836186</v>
      </c>
      <c r="AU283" s="458">
        <f t="shared" si="237"/>
        <v>5.3041327947202568</v>
      </c>
      <c r="AV283" s="458">
        <f t="shared" si="237"/>
        <v>5.4254018873660632</v>
      </c>
      <c r="AW283" s="459">
        <f t="shared" si="237"/>
        <v>4.9490263768272289</v>
      </c>
      <c r="AX283" s="459">
        <f t="shared" si="237"/>
        <v>5.3054688125550484</v>
      </c>
      <c r="AY283" s="459">
        <f t="shared" si="237"/>
        <v>3.826826496358255</v>
      </c>
      <c r="AZ283" s="459">
        <f t="shared" si="237"/>
        <v>4.036877277325484</v>
      </c>
      <c r="BA283" s="29">
        <f t="shared" si="237"/>
        <v>3.7640134116168822</v>
      </c>
      <c r="BB283" s="14">
        <f t="shared" si="237"/>
        <v>3.705802372756247</v>
      </c>
      <c r="BC283" s="14">
        <f t="shared" si="237"/>
        <v>3.6649603938346336</v>
      </c>
      <c r="BD283" s="14">
        <f t="shared" si="237"/>
        <v>3.5141801041477301</v>
      </c>
      <c r="BE283" s="481">
        <f>BE275/BE280*100</f>
        <v>3.716120583768403</v>
      </c>
      <c r="BF283" s="481">
        <f>BF275/BF280*100</f>
        <v>3.561072641218864</v>
      </c>
    </row>
    <row r="284" spans="10:58" ht="15.75" thickBot="1" x14ac:dyDescent="0.3">
      <c r="AK284" s="325" t="s">
        <v>26</v>
      </c>
      <c r="AL284" s="326">
        <v>825056</v>
      </c>
      <c r="AM284" s="327">
        <v>848204</v>
      </c>
      <c r="AN284" s="327">
        <v>924696</v>
      </c>
      <c r="AO284" s="327">
        <v>985514</v>
      </c>
      <c r="AP284" s="327">
        <v>997791</v>
      </c>
      <c r="AQ284" s="327">
        <v>1005984</v>
      </c>
      <c r="AR284" s="327">
        <v>1073238</v>
      </c>
      <c r="AS284" s="327">
        <v>1070624</v>
      </c>
      <c r="AT284" s="327">
        <v>1030760</v>
      </c>
      <c r="AU284" s="327">
        <v>1072544</v>
      </c>
      <c r="AV284" s="328">
        <v>1109892</v>
      </c>
      <c r="AW284" s="328">
        <v>1163376</v>
      </c>
      <c r="AX284" s="328">
        <v>1129593</v>
      </c>
      <c r="AY284" s="329">
        <v>1205011</v>
      </c>
      <c r="AZ284" s="330">
        <v>1233423</v>
      </c>
      <c r="BA284" s="330">
        <v>1292983</v>
      </c>
      <c r="BB284" s="329">
        <v>1269580</v>
      </c>
      <c r="BC284" s="482">
        <v>1292276.71</v>
      </c>
      <c r="BD284" s="467">
        <v>1306049</v>
      </c>
      <c r="BE284" s="482">
        <v>1405757</v>
      </c>
      <c r="BF284" s="467">
        <v>1431391</v>
      </c>
    </row>
    <row r="285" spans="10:58" ht="15.75" thickBot="1" x14ac:dyDescent="0.3">
      <c r="AK285" s="8" t="s">
        <v>424</v>
      </c>
      <c r="AL285" s="9">
        <f t="shared" ref="AL285:AX285" si="238">AL278/AL284*100</f>
        <v>5.0479114929483568</v>
      </c>
      <c r="AM285" s="9">
        <f t="shared" si="238"/>
        <v>5.3221962913402914</v>
      </c>
      <c r="AN285" s="9">
        <f t="shared" si="238"/>
        <v>5.5704068303528951</v>
      </c>
      <c r="AO285" s="9">
        <f t="shared" si="238"/>
        <v>5.9861258420479064</v>
      </c>
      <c r="AP285" s="9">
        <f t="shared" si="238"/>
        <v>5.8114998313484483</v>
      </c>
      <c r="AQ285" s="9">
        <f t="shared" si="238"/>
        <v>6.4593053573357038</v>
      </c>
      <c r="AR285" s="9">
        <f t="shared" si="238"/>
        <v>4.9627699568036174</v>
      </c>
      <c r="AS285" s="9">
        <f t="shared" si="238"/>
        <v>4.8933382662820932</v>
      </c>
      <c r="AT285" s="9">
        <f t="shared" si="238"/>
        <v>6.5621483177461286</v>
      </c>
      <c r="AU285" s="9">
        <f t="shared" si="238"/>
        <v>6.30650117850643</v>
      </c>
      <c r="AV285" s="9">
        <f t="shared" si="238"/>
        <v>6.944819856346383</v>
      </c>
      <c r="AW285" s="337">
        <f t="shared" si="238"/>
        <v>6.3030353041493026</v>
      </c>
      <c r="AX285" s="337">
        <f t="shared" si="238"/>
        <v>6.6400021954810278</v>
      </c>
      <c r="AY285" s="10">
        <f>AY280/AY284*100</f>
        <v>56.809605887415138</v>
      </c>
      <c r="AZ285" s="193">
        <f>AZ280/AZ284*100</f>
        <v>58.585983883874391</v>
      </c>
      <c r="BA285" s="193">
        <f>BA280/BA284*100</f>
        <v>57.73602591836088</v>
      </c>
      <c r="BB285" s="10">
        <f>BB280/BB284*100</f>
        <v>57.409300713621825</v>
      </c>
      <c r="BC285" s="10">
        <f t="shared" ref="BC285:BD285" si="239">BC280/BC284*100</f>
        <v>56.731817909184478</v>
      </c>
      <c r="BD285" s="10">
        <f t="shared" si="239"/>
        <v>59.387434927786018</v>
      </c>
      <c r="BE285" s="10">
        <f t="shared" ref="BE285:BF285" si="240">BE278/BE284*100</f>
        <v>3.8667422605756188</v>
      </c>
      <c r="BF285" s="10">
        <f t="shared" si="240"/>
        <v>3.5570993530069699</v>
      </c>
    </row>
    <row r="287" spans="10:58" ht="15.75" thickBot="1" x14ac:dyDescent="0.3"/>
    <row r="288" spans="10:58" ht="19.5" thickBot="1" x14ac:dyDescent="0.35">
      <c r="AK288" s="1112" t="s">
        <v>425</v>
      </c>
      <c r="AL288" s="1113"/>
      <c r="AM288" s="1113"/>
      <c r="AN288" s="1113"/>
      <c r="AO288" s="1113"/>
      <c r="AP288" s="1113"/>
      <c r="AQ288" s="1113"/>
      <c r="AR288" s="1113"/>
      <c r="AS288" s="1113"/>
      <c r="AT288" s="1113"/>
      <c r="AU288" s="1113"/>
      <c r="AV288" s="1113"/>
      <c r="AW288" s="1113"/>
      <c r="AX288" s="1113"/>
      <c r="AY288" s="1113"/>
      <c r="AZ288" s="1113"/>
      <c r="BA288" s="1113"/>
      <c r="BB288" s="1113"/>
      <c r="BC288" s="1113"/>
      <c r="BD288" s="1113"/>
      <c r="BE288" s="1113"/>
      <c r="BF288" s="1114"/>
    </row>
    <row r="289" spans="4:58" ht="15.75" thickBot="1" x14ac:dyDescent="0.3"/>
    <row r="290" spans="4:58" ht="15.75" thickBot="1" x14ac:dyDescent="0.3">
      <c r="AK290" s="525" t="s">
        <v>426</v>
      </c>
      <c r="AL290" s="526" t="s">
        <v>0</v>
      </c>
      <c r="AM290" s="31" t="s">
        <v>1</v>
      </c>
      <c r="AN290" s="31" t="s">
        <v>2</v>
      </c>
      <c r="AO290" s="31" t="s">
        <v>3</v>
      </c>
      <c r="AP290" s="31" t="s">
        <v>4</v>
      </c>
      <c r="AQ290" s="31" t="s">
        <v>5</v>
      </c>
      <c r="AR290" s="31" t="s">
        <v>6</v>
      </c>
      <c r="AS290" s="31" t="s">
        <v>7</v>
      </c>
      <c r="AT290" s="31" t="s">
        <v>27</v>
      </c>
      <c r="AU290" s="31" t="s">
        <v>9</v>
      </c>
      <c r="AV290" s="31" t="s">
        <v>10</v>
      </c>
      <c r="AW290" s="79" t="s">
        <v>11</v>
      </c>
      <c r="AX290" s="35" t="s">
        <v>12</v>
      </c>
      <c r="AY290" s="35" t="s">
        <v>13</v>
      </c>
      <c r="AZ290" s="35" t="s">
        <v>14</v>
      </c>
      <c r="BA290" s="368" t="s">
        <v>15</v>
      </c>
      <c r="BB290" s="35" t="s">
        <v>16</v>
      </c>
      <c r="BC290" s="526" t="s">
        <v>298</v>
      </c>
      <c r="BD290" s="35" t="s">
        <v>299</v>
      </c>
      <c r="BE290" s="526" t="s">
        <v>300</v>
      </c>
      <c r="BF290" s="509" t="s">
        <v>203</v>
      </c>
    </row>
    <row r="291" spans="4:58" x14ac:dyDescent="0.25">
      <c r="AK291" s="527" t="s">
        <v>34</v>
      </c>
      <c r="AL291" s="359">
        <f>'[15]2016. I. - Állományi'!F28+'[15]2016. I. - Állományi'!K28</f>
        <v>345.36931400000003</v>
      </c>
      <c r="AM291" s="359">
        <f>'[15]2016. II. - Állományi'!F28+'[15]2016. II. - Állományi'!K28</f>
        <v>363.68672700000002</v>
      </c>
      <c r="AN291" s="359">
        <f>'[15]2016. III. - Állományi'!F28+'[15]2016. III. - Állományi'!K28</f>
        <v>420.98257100000001</v>
      </c>
      <c r="AO291" s="359">
        <f>'[15]2016. IV.- Állományi'!F28+'[15]2016. IV.- Állományi'!K28</f>
        <v>350.26599999999996</v>
      </c>
      <c r="AP291" s="359">
        <f>'[15]2017. I. - Állományi'!F28+'[15]2017. I. - Állományi'!K28</f>
        <v>352.40485100000001</v>
      </c>
      <c r="AQ291" s="359">
        <f>'[15]2017. II. - Állományi'!F28+'[15]2017. II. - Állományi'!K28</f>
        <v>472.76435400000003</v>
      </c>
      <c r="AR291" s="359">
        <f>'[15]2017. III. - Állományi'!F28+'[15]2017. III. - Állományi'!K28</f>
        <v>630</v>
      </c>
      <c r="AS291" s="359">
        <f>'[15]2017. IV. - Állományi'!F28+'[15]2017. IV. - Állományi'!K28</f>
        <v>568.184077</v>
      </c>
      <c r="AT291" s="359">
        <f>'[15]2018. I. - Állományi_R'!F29+'[15]2018. I. - Állományi_R'!K29</f>
        <v>512</v>
      </c>
      <c r="AU291" s="359">
        <f>'[15]2018. I. - Állományi_Új'!F29+'[15]2018. I. - Állományi_Új'!K29</f>
        <v>512</v>
      </c>
      <c r="AV291" s="359">
        <f>'[15]2018. II. - Állományi_Új'!F29+'[15]2018. II. - Állományi_Új'!K29</f>
        <v>615</v>
      </c>
      <c r="AW291" s="360">
        <f>'[15]2018. III. - Állományi_Új'!F29+'[15]2018. III. - Állományi_Új'!K29</f>
        <v>669</v>
      </c>
      <c r="AX291" s="360">
        <f>'[15]2018. IV. - Állományi_Új'!F29+'[15]2018. IV. - Állományi_Új'!K29</f>
        <v>653</v>
      </c>
      <c r="AY291" s="81">
        <v>1007</v>
      </c>
      <c r="AZ291" s="81">
        <v>508</v>
      </c>
      <c r="BA291" s="360">
        <v>548</v>
      </c>
      <c r="BB291" s="359">
        <f>'[15]2019. IV. Állomány adatok'!H32+'[15]2019. IV. Állomány adatok'!M32</f>
        <v>311</v>
      </c>
      <c r="BC291" s="539">
        <f>'[15]2020. I. Állomány adatok'!H34+'[15]2020. I. Állomány adatok'!M34</f>
        <v>317</v>
      </c>
      <c r="BD291" s="359">
        <f>'[15]2020. II. Állományi adatok'!H34+'[15]2020. II. Állományi adatok'!M34</f>
        <v>362</v>
      </c>
      <c r="BE291" s="539">
        <f>'[15]2020. III. Állományi adatok'!H34+'[15]2020. III. Állományi adatok'!M34</f>
        <v>439</v>
      </c>
      <c r="BF291" s="443">
        <f>'[15]2020. IV. Állományi adatok'!H34+'[15]2020. IV. Állományi adatok'!M34</f>
        <v>398</v>
      </c>
    </row>
    <row r="292" spans="4:58" ht="15.75" thickBot="1" x14ac:dyDescent="0.3">
      <c r="AK292" s="528" t="s">
        <v>35</v>
      </c>
      <c r="AL292" s="282">
        <f>'[15]2016. I. - Állományi'!F67+'[15]2016. I. - Állományi'!K67</f>
        <v>67980.243757999997</v>
      </c>
      <c r="AM292" s="282">
        <f>'[15]2016. II. - Állományi'!F67+'[15]2016. II. - Állományi'!K67</f>
        <v>67722.401225000009</v>
      </c>
      <c r="AN292" s="282">
        <f>'[15]2016. III. - Állományi'!F67+'[15]2016. III. - Állományi'!K67</f>
        <v>67532.452982999996</v>
      </c>
      <c r="AO292" s="282">
        <f>'[15]2016. IV.- Állományi'!F67+'[15]2016. IV.- Állományi'!K67</f>
        <v>54616.685553999996</v>
      </c>
      <c r="AP292" s="282">
        <f>'[15]2017. I. - Állományi'!F67+'[15]2017. I. - Állományi'!K67</f>
        <v>54532.108403999999</v>
      </c>
      <c r="AQ292" s="282">
        <f>'[15]2017. II. - Állományi'!F67+'[15]2017. II. - Állományi'!K67</f>
        <v>52596.881065000001</v>
      </c>
      <c r="AR292" s="282">
        <f>'[15]2017. III. - Állományi'!F67+'[15]2017. III. - Állományi'!K67</f>
        <v>47361.457057480002</v>
      </c>
      <c r="AS292" s="282">
        <f>'[15]2017. IV. - Állományi'!F67+'[15]2017. IV. - Állományi'!K67</f>
        <v>50991.59012067</v>
      </c>
      <c r="AT292" s="282">
        <f>'[15]2018. I. - Állományi_R'!F69+'[15]2018. I. - Állományi_R'!K69</f>
        <v>68409</v>
      </c>
      <c r="AU292" s="282">
        <f>'[15]2018. I. - Állományi_Új'!F69+'[15]2018. I. - Állományi_Új'!K69</f>
        <v>68409</v>
      </c>
      <c r="AV292" s="282">
        <f>'[15]2018. II. - Állományi_Új'!F69+'[15]2018. II. - Állományi_Új'!K69</f>
        <v>75805</v>
      </c>
      <c r="AW292" s="283">
        <f>'[15]2018. III. - Állományi_Új'!F69+'[15]2018. III. - Állományi_Új'!K69</f>
        <v>62318</v>
      </c>
      <c r="AX292" s="283">
        <f>'[15]2018. IV. - Állományi_Új'!F69+'[15]2018. IV. - Állományi_Új'!K69</f>
        <v>54503</v>
      </c>
      <c r="AY292" s="283">
        <v>61665</v>
      </c>
      <c r="AZ292" s="283">
        <v>61356</v>
      </c>
      <c r="BA292" s="283">
        <v>67680</v>
      </c>
      <c r="BB292" s="282">
        <f>'[15]2019. IV. Állomány adatok'!H74+'[15]2019. IV. Állomány adatok'!M74</f>
        <v>74947</v>
      </c>
      <c r="BC292" s="540">
        <f>'[15]2020. I. Állomány adatok'!H81+'[15]2020. I. Állomány adatok'!M81</f>
        <v>76636</v>
      </c>
      <c r="BD292" s="282">
        <f>'[15]2020. II. Állományi adatok'!H81+'[15]2020. II. Állományi adatok'!M81</f>
        <v>75533</v>
      </c>
      <c r="BE292" s="540">
        <f>'[15]2020. III. Állományi adatok'!H81+'[15]2020. III. Állományi adatok'!M81</f>
        <v>74905</v>
      </c>
      <c r="BF292" s="445">
        <f>'[15]2020. IV. Állományi adatok'!H81+'[15]2020. IV. Állományi adatok'!M81</f>
        <v>84179</v>
      </c>
    </row>
    <row r="293" spans="4:58" x14ac:dyDescent="0.25">
      <c r="AK293" s="510" t="s">
        <v>419</v>
      </c>
      <c r="AL293" s="245">
        <f>AL291/AL295*100</f>
        <v>0.50547561664182594</v>
      </c>
      <c r="AM293" s="220">
        <f t="shared" ref="AM293:AZ293" si="241">AM291/AM295*100</f>
        <v>0.53415717944669616</v>
      </c>
      <c r="AN293" s="220">
        <f t="shared" si="241"/>
        <v>0.61951624309776243</v>
      </c>
      <c r="AO293" s="220">
        <f t="shared" si="241"/>
        <v>0.63723017212605593</v>
      </c>
      <c r="AP293" s="220">
        <f t="shared" si="241"/>
        <v>0.64208431504655061</v>
      </c>
      <c r="AQ293" s="220">
        <f t="shared" si="241"/>
        <v>0.89083759702442045</v>
      </c>
      <c r="AR293" s="220">
        <f t="shared" si="241"/>
        <v>1.3127336376668888</v>
      </c>
      <c r="AS293" s="220">
        <f t="shared" si="241"/>
        <v>1.1019910110965467</v>
      </c>
      <c r="AT293" s="220">
        <f t="shared" si="241"/>
        <v>0.74287952873579888</v>
      </c>
      <c r="AU293" s="220">
        <f t="shared" si="241"/>
        <v>0.74287952873579888</v>
      </c>
      <c r="AV293" s="220">
        <f t="shared" si="241"/>
        <v>0.80476315100758955</v>
      </c>
      <c r="AW293" s="220">
        <f t="shared" si="241"/>
        <v>1.0621239303348309</v>
      </c>
      <c r="AX293" s="220">
        <f t="shared" si="241"/>
        <v>1.1839147146276017</v>
      </c>
      <c r="AY293" s="220">
        <f t="shared" si="241"/>
        <v>1.6067781465407198</v>
      </c>
      <c r="AZ293" s="288">
        <f t="shared" si="241"/>
        <v>0.82115608431397902</v>
      </c>
      <c r="BA293" s="288">
        <f>BA291/BA295*100</f>
        <v>0.80318930644310249</v>
      </c>
      <c r="BB293" s="232">
        <f>BB291/BB295*100</f>
        <v>0.41324510351059024</v>
      </c>
      <c r="BC293" s="232">
        <f t="shared" ref="BC293:BF293" si="242">BC291/BC295*100</f>
        <v>0.41193975543513578</v>
      </c>
      <c r="BD293" s="232">
        <f t="shared" si="242"/>
        <v>0.47697476777126296</v>
      </c>
      <c r="BE293" s="499">
        <f t="shared" si="242"/>
        <v>0.58266086217880653</v>
      </c>
      <c r="BF293" s="499">
        <f t="shared" si="242"/>
        <v>0.47057710725138041</v>
      </c>
    </row>
    <row r="294" spans="4:58" ht="15.75" thickBot="1" x14ac:dyDescent="0.3">
      <c r="AK294" s="290" t="s">
        <v>420</v>
      </c>
      <c r="AL294" s="365">
        <f>AL292/AL295*100</f>
        <v>99.494524383358183</v>
      </c>
      <c r="AM294" s="292">
        <f t="shared" ref="AM294:BF294" si="243">AM292/AM295*100</f>
        <v>99.46584282055332</v>
      </c>
      <c r="AN294" s="292">
        <f t="shared" si="243"/>
        <v>99.380483756902237</v>
      </c>
      <c r="AO294" s="292">
        <f t="shared" si="243"/>
        <v>99.362769827873947</v>
      </c>
      <c r="AP294" s="292">
        <f t="shared" si="243"/>
        <v>99.35791568495344</v>
      </c>
      <c r="AQ294" s="292">
        <f t="shared" si="243"/>
        <v>99.109162402975585</v>
      </c>
      <c r="AR294" s="292">
        <f t="shared" si="243"/>
        <v>98.687266362333119</v>
      </c>
      <c r="AS294" s="292">
        <f t="shared" si="243"/>
        <v>98.898008988903456</v>
      </c>
      <c r="AT294" s="292">
        <f t="shared" si="243"/>
        <v>99.257120471264201</v>
      </c>
      <c r="AU294" s="292">
        <f t="shared" si="243"/>
        <v>99.257120471264201</v>
      </c>
      <c r="AV294" s="292">
        <f t="shared" si="243"/>
        <v>99.195236848992408</v>
      </c>
      <c r="AW294" s="292">
        <f t="shared" si="243"/>
        <v>98.937876069665165</v>
      </c>
      <c r="AX294" s="292">
        <f t="shared" si="243"/>
        <v>98.816085285372395</v>
      </c>
      <c r="AY294" s="292">
        <f t="shared" si="243"/>
        <v>98.393221853459281</v>
      </c>
      <c r="AZ294" s="293">
        <f t="shared" si="243"/>
        <v>99.178843915686016</v>
      </c>
      <c r="BA294" s="293">
        <f t="shared" si="243"/>
        <v>99.196810693556898</v>
      </c>
      <c r="BB294" s="512">
        <f t="shared" si="243"/>
        <v>99.58675489648941</v>
      </c>
      <c r="BC294" s="512">
        <f t="shared" si="243"/>
        <v>99.588060244564872</v>
      </c>
      <c r="BD294" s="512">
        <f t="shared" si="243"/>
        <v>99.523025232228733</v>
      </c>
      <c r="BE294" s="543">
        <f t="shared" si="243"/>
        <v>99.417339137821187</v>
      </c>
      <c r="BF294" s="543">
        <f t="shared" si="243"/>
        <v>99.529422892748613</v>
      </c>
    </row>
    <row r="295" spans="4:58" x14ac:dyDescent="0.25">
      <c r="AK295" s="345" t="s">
        <v>427</v>
      </c>
      <c r="AL295" s="370">
        <f>AL291+AL292</f>
        <v>68325.613071999993</v>
      </c>
      <c r="AM295" s="371">
        <f t="shared" ref="AM295:AX295" si="244">AM291+AM292</f>
        <v>68086.087952000002</v>
      </c>
      <c r="AN295" s="371">
        <f t="shared" si="244"/>
        <v>67953.435553999996</v>
      </c>
      <c r="AO295" s="371">
        <f t="shared" si="244"/>
        <v>54966.951553999999</v>
      </c>
      <c r="AP295" s="371">
        <f t="shared" si="244"/>
        <v>54884.513254999998</v>
      </c>
      <c r="AQ295" s="371">
        <f t="shared" si="244"/>
        <v>53069.645419</v>
      </c>
      <c r="AR295" s="371">
        <f t="shared" si="244"/>
        <v>47991.457057480002</v>
      </c>
      <c r="AS295" s="371">
        <f t="shared" si="244"/>
        <v>51559.774197669998</v>
      </c>
      <c r="AT295" s="371">
        <f t="shared" si="244"/>
        <v>68921</v>
      </c>
      <c r="AU295" s="371">
        <f t="shared" si="244"/>
        <v>68921</v>
      </c>
      <c r="AV295" s="371">
        <f t="shared" si="244"/>
        <v>76420</v>
      </c>
      <c r="AW295" s="371">
        <f t="shared" si="244"/>
        <v>62987</v>
      </c>
      <c r="AX295" s="371">
        <f t="shared" si="244"/>
        <v>55156</v>
      </c>
      <c r="AY295" s="371">
        <f>AY291+AY292</f>
        <v>62672</v>
      </c>
      <c r="AZ295" s="372">
        <f>AZ291+AZ292</f>
        <v>61864</v>
      </c>
      <c r="BA295" s="372">
        <f>BA291+BA292</f>
        <v>68228</v>
      </c>
      <c r="BB295" s="516">
        <f>BB291+BB292</f>
        <v>75258</v>
      </c>
      <c r="BC295" s="555">
        <f t="shared" ref="BC295:BF295" si="245">BC291+BC292</f>
        <v>76953</v>
      </c>
      <c r="BD295" s="371">
        <f t="shared" si="245"/>
        <v>75895</v>
      </c>
      <c r="BE295" s="544">
        <f t="shared" si="245"/>
        <v>75344</v>
      </c>
      <c r="BF295" s="544">
        <f t="shared" si="245"/>
        <v>84577</v>
      </c>
    </row>
    <row r="296" spans="4:58" x14ac:dyDescent="0.25">
      <c r="AK296" s="380" t="s">
        <v>428</v>
      </c>
      <c r="AL296" s="530">
        <f>AL295/AL297*100</f>
        <v>17.801426464940686</v>
      </c>
      <c r="AM296" s="596">
        <f t="shared" ref="AM296:AX296" si="246">AM295/AM297*100</f>
        <v>17.463613360213813</v>
      </c>
      <c r="AN296" s="596">
        <f t="shared" si="246"/>
        <v>16.338023849183259</v>
      </c>
      <c r="AO296" s="596">
        <f t="shared" si="246"/>
        <v>13.017200508212873</v>
      </c>
      <c r="AP296" s="596">
        <f t="shared" si="246"/>
        <v>13.974414577975811</v>
      </c>
      <c r="AQ296" s="596">
        <f t="shared" si="246"/>
        <v>13.838058283203608</v>
      </c>
      <c r="AR296" s="596">
        <f t="shared" si="246"/>
        <v>11.199533516481413</v>
      </c>
      <c r="AS296" s="596">
        <f t="shared" si="246"/>
        <v>11.209475091130647</v>
      </c>
      <c r="AT296" s="596">
        <f t="shared" si="246"/>
        <v>15.302447645606494</v>
      </c>
      <c r="AU296" s="596">
        <f t="shared" si="246"/>
        <v>15.200155263407458</v>
      </c>
      <c r="AV296" s="596">
        <f t="shared" si="246"/>
        <v>16.427908096581138</v>
      </c>
      <c r="AW296" s="596">
        <f t="shared" si="246"/>
        <v>12.69970885453211</v>
      </c>
      <c r="AX296" s="596">
        <f t="shared" si="246"/>
        <v>10.918888314794028</v>
      </c>
      <c r="AY296" s="596">
        <f>AY295/AY297*100</f>
        <v>12.04190996620226</v>
      </c>
      <c r="AZ296" s="153">
        <f>AZ295/AZ297*100</f>
        <v>12.110961022689454</v>
      </c>
      <c r="BA296" s="153">
        <f>BA295/BA297*100</f>
        <v>12.485314731383106</v>
      </c>
      <c r="BB296" s="521">
        <f>BB295/BB297*100</f>
        <v>13.811645695996241</v>
      </c>
      <c r="BC296" s="521">
        <f t="shared" ref="BC296:BF296" si="247">BC295/BC297*100</f>
        <v>13.762628574960498</v>
      </c>
      <c r="BD296" s="521">
        <f t="shared" si="247"/>
        <v>14.308499506993527</v>
      </c>
      <c r="BE296" s="545">
        <f t="shared" si="247"/>
        <v>12.70033915218696</v>
      </c>
      <c r="BF296" s="545">
        <f t="shared" si="247"/>
        <v>13.719631383350608</v>
      </c>
    </row>
    <row r="297" spans="4:58" ht="15.75" thickBot="1" x14ac:dyDescent="0.3">
      <c r="AK297" s="345" t="s">
        <v>44</v>
      </c>
      <c r="AL297" s="387">
        <v>383821</v>
      </c>
      <c r="AM297" s="388">
        <v>389874</v>
      </c>
      <c r="AN297" s="388">
        <v>415922</v>
      </c>
      <c r="AO297" s="388">
        <v>422264</v>
      </c>
      <c r="AP297" s="388">
        <v>392750</v>
      </c>
      <c r="AQ297" s="388">
        <v>383505</v>
      </c>
      <c r="AR297" s="388">
        <v>428513</v>
      </c>
      <c r="AS297" s="388">
        <v>459966</v>
      </c>
      <c r="AT297" s="388">
        <v>450392</v>
      </c>
      <c r="AU297" s="388">
        <v>453423</v>
      </c>
      <c r="AV297" s="388">
        <v>465184</v>
      </c>
      <c r="AW297" s="388">
        <v>495972</v>
      </c>
      <c r="AX297" s="388">
        <v>505143</v>
      </c>
      <c r="AY297" s="388">
        <v>520449</v>
      </c>
      <c r="AZ297" s="388">
        <v>510810</v>
      </c>
      <c r="BA297" s="388">
        <v>546466</v>
      </c>
      <c r="BB297" s="388">
        <v>544888</v>
      </c>
      <c r="BC297" s="388">
        <v>559144.64</v>
      </c>
      <c r="BD297" s="388">
        <v>530419</v>
      </c>
      <c r="BE297" s="388">
        <v>593244</v>
      </c>
      <c r="BF297" s="388">
        <v>616467</v>
      </c>
    </row>
    <row r="298" spans="4:58" x14ac:dyDescent="0.25">
      <c r="AK298" s="25" t="s">
        <v>429</v>
      </c>
      <c r="AL298" s="398">
        <v>0</v>
      </c>
      <c r="AM298" s="232">
        <f t="shared" ref="AM298:AX298" si="248">AM295/AL295*100-100</f>
        <v>-0.35056417239547955</v>
      </c>
      <c r="AN298" s="232">
        <f t="shared" si="248"/>
        <v>-0.19483040073255609</v>
      </c>
      <c r="AO298" s="232">
        <f t="shared" si="248"/>
        <v>-19.110857154058294</v>
      </c>
      <c r="AP298" s="232">
        <f t="shared" si="248"/>
        <v>-0.14997793523079395</v>
      </c>
      <c r="AQ298" s="232">
        <f t="shared" si="248"/>
        <v>-3.3067029811631983</v>
      </c>
      <c r="AR298" s="232">
        <f t="shared" si="248"/>
        <v>-9.5689133051978246</v>
      </c>
      <c r="AS298" s="232">
        <f t="shared" si="248"/>
        <v>7.435317364747192</v>
      </c>
      <c r="AT298" s="232">
        <f t="shared" si="248"/>
        <v>33.67203614152865</v>
      </c>
      <c r="AU298" s="232">
        <f t="shared" si="248"/>
        <v>0</v>
      </c>
      <c r="AV298" s="232">
        <f t="shared" si="248"/>
        <v>10.880573410136236</v>
      </c>
      <c r="AW298" s="232">
        <f t="shared" si="248"/>
        <v>-17.577859199162532</v>
      </c>
      <c r="AX298" s="232">
        <f t="shared" si="248"/>
        <v>-12.432724212932825</v>
      </c>
      <c r="AY298" s="232">
        <f>AY295/AW295*100-100</f>
        <v>-0.50010319589756591</v>
      </c>
      <c r="AZ298" s="399">
        <f t="shared" ref="AZ298:BD298" si="249">AZ295/AY295*100-100</f>
        <v>-1.2892519785550149</v>
      </c>
      <c r="BA298" s="399">
        <f t="shared" si="249"/>
        <v>10.287081339712927</v>
      </c>
      <c r="BB298" s="14">
        <f t="shared" si="249"/>
        <v>10.303687635574832</v>
      </c>
      <c r="BC298" s="14">
        <f t="shared" si="249"/>
        <v>2.2522522522522479</v>
      </c>
      <c r="BD298" s="14">
        <f t="shared" si="249"/>
        <v>-1.3748651774459688</v>
      </c>
      <c r="BE298" s="458">
        <f>BE295/BD295*100-100</f>
        <v>-0.72600303050266746</v>
      </c>
      <c r="BF298" s="458">
        <f>BF295/BE295*100-100</f>
        <v>12.254459545551072</v>
      </c>
    </row>
    <row r="299" spans="4:58" x14ac:dyDescent="0.25">
      <c r="AK299" s="401" t="s">
        <v>326</v>
      </c>
      <c r="AL299" s="13">
        <f>AL291/AL297*100</f>
        <v>8.9981870194700136E-2</v>
      </c>
      <c r="AM299" s="14">
        <f t="shared" ref="AM299:BF299" si="250">AM291/AM297*100</f>
        <v>9.3283144554394501E-2</v>
      </c>
      <c r="AN299" s="14">
        <f t="shared" si="250"/>
        <v>0.10121671154687659</v>
      </c>
      <c r="AO299" s="14">
        <f t="shared" si="250"/>
        <v>8.2949529204478706E-2</v>
      </c>
      <c r="AP299" s="14">
        <f t="shared" si="250"/>
        <v>8.9727524124761301E-2</v>
      </c>
      <c r="AQ299" s="14">
        <f t="shared" si="250"/>
        <v>0.12327462588492979</v>
      </c>
      <c r="AR299" s="14">
        <f t="shared" si="250"/>
        <v>0.14702004373262886</v>
      </c>
      <c r="AS299" s="14">
        <f t="shared" si="250"/>
        <v>0.12352740789536618</v>
      </c>
      <c r="AT299" s="14">
        <f t="shared" si="250"/>
        <v>0.11367875095472388</v>
      </c>
      <c r="AU299" s="14">
        <f t="shared" si="250"/>
        <v>0.11291884178791106</v>
      </c>
      <c r="AV299" s="14">
        <f t="shared" si="250"/>
        <v>0.1322057508426773</v>
      </c>
      <c r="AW299" s="14">
        <f t="shared" si="250"/>
        <v>0.13488664682683701</v>
      </c>
      <c r="AX299" s="14">
        <f t="shared" si="250"/>
        <v>0.12927032543260028</v>
      </c>
      <c r="AY299" s="14">
        <f t="shared" si="250"/>
        <v>0.1934867777630469</v>
      </c>
      <c r="AZ299" s="29">
        <f t="shared" si="250"/>
        <v>9.9449893306708947E-2</v>
      </c>
      <c r="BA299" s="29">
        <f t="shared" si="250"/>
        <v>0.10028071279823446</v>
      </c>
      <c r="BB299" s="14">
        <f t="shared" si="250"/>
        <v>5.7075949552935649E-2</v>
      </c>
      <c r="BC299" s="14">
        <f t="shared" si="250"/>
        <v>5.6693738493138378E-2</v>
      </c>
      <c r="BD299" s="14">
        <f t="shared" si="250"/>
        <v>6.8247932295034688E-2</v>
      </c>
      <c r="BE299" s="458">
        <f t="shared" si="250"/>
        <v>7.3999905603765057E-2</v>
      </c>
      <c r="BF299" s="458">
        <f t="shared" si="250"/>
        <v>6.4561444489323841E-2</v>
      </c>
    </row>
    <row r="300" spans="4:58" ht="15.75" thickBot="1" x14ac:dyDescent="0.3">
      <c r="AK300" s="401" t="s">
        <v>327</v>
      </c>
      <c r="AL300" s="480">
        <f>AL292/AL297*100</f>
        <v>17.711444594745988</v>
      </c>
      <c r="AM300" s="481">
        <f t="shared" ref="AM300:BF300" si="251">AM292/AM297*100</f>
        <v>17.370330215659422</v>
      </c>
      <c r="AN300" s="481">
        <f t="shared" si="251"/>
        <v>16.236807137636383</v>
      </c>
      <c r="AO300" s="481">
        <f t="shared" si="251"/>
        <v>12.934250979008391</v>
      </c>
      <c r="AP300" s="481">
        <f t="shared" si="251"/>
        <v>13.884687053851049</v>
      </c>
      <c r="AQ300" s="481">
        <f t="shared" si="251"/>
        <v>13.71478365731868</v>
      </c>
      <c r="AR300" s="481">
        <f t="shared" si="251"/>
        <v>11.052513472748785</v>
      </c>
      <c r="AS300" s="481">
        <f t="shared" si="251"/>
        <v>11.085947683235283</v>
      </c>
      <c r="AT300" s="481">
        <f t="shared" si="251"/>
        <v>15.188768894651769</v>
      </c>
      <c r="AU300" s="481">
        <f t="shared" si="251"/>
        <v>15.087236421619545</v>
      </c>
      <c r="AV300" s="481">
        <f t="shared" si="251"/>
        <v>16.295702345738462</v>
      </c>
      <c r="AW300" s="481">
        <f t="shared" si="251"/>
        <v>12.564822207705273</v>
      </c>
      <c r="AX300" s="481">
        <f t="shared" si="251"/>
        <v>10.789617989361428</v>
      </c>
      <c r="AY300" s="481">
        <f t="shared" si="251"/>
        <v>11.848423188439213</v>
      </c>
      <c r="AZ300" s="462">
        <f t="shared" si="251"/>
        <v>12.011511129382745</v>
      </c>
      <c r="BA300" s="462">
        <f t="shared" si="251"/>
        <v>12.385034018584872</v>
      </c>
      <c r="BB300" s="14">
        <f t="shared" si="251"/>
        <v>13.754569746443307</v>
      </c>
      <c r="BC300" s="14">
        <f t="shared" si="251"/>
        <v>13.70593483646736</v>
      </c>
      <c r="BD300" s="14">
        <f t="shared" si="251"/>
        <v>14.240251574698492</v>
      </c>
      <c r="BE300" s="460">
        <f t="shared" si="251"/>
        <v>12.626339246583193</v>
      </c>
      <c r="BF300" s="460">
        <f t="shared" si="251"/>
        <v>13.655069938861287</v>
      </c>
    </row>
    <row r="301" spans="4:58" ht="15.75" thickBot="1" x14ac:dyDescent="0.3">
      <c r="D301" t="s">
        <v>55</v>
      </c>
      <c r="F301" s="74">
        <f>F305/E305*100-100</f>
        <v>0.62330120403018441</v>
      </c>
      <c r="G301" s="74">
        <f t="shared" ref="G301:X301" si="252">G305/F305*100-100</f>
        <v>11.366348448687361</v>
      </c>
      <c r="H301" s="74">
        <f t="shared" si="252"/>
        <v>42.416774224971391</v>
      </c>
      <c r="I301" s="74">
        <f t="shared" si="252"/>
        <v>9.1066097133066393</v>
      </c>
      <c r="J301" s="74">
        <f t="shared" si="252"/>
        <v>3.4582846181092179</v>
      </c>
      <c r="K301" s="74">
        <f t="shared" si="252"/>
        <v>2.0444519850695713</v>
      </c>
      <c r="L301" s="74">
        <f t="shared" si="252"/>
        <v>-3.7558044250204858</v>
      </c>
      <c r="M301" s="74">
        <f t="shared" si="252"/>
        <v>-4.2515779147463348</v>
      </c>
      <c r="N301" s="74">
        <f t="shared" si="252"/>
        <v>12.481796507506942</v>
      </c>
      <c r="O301" s="74">
        <f t="shared" si="252"/>
        <v>2.9256332331770238</v>
      </c>
      <c r="P301" s="74">
        <f t="shared" si="252"/>
        <v>0.57021998970319032</v>
      </c>
      <c r="Q301" s="74">
        <f t="shared" si="252"/>
        <v>-15.35098399486418</v>
      </c>
      <c r="R301" s="74">
        <f>R305/Q305*100-100</f>
        <v>21.114191194738297</v>
      </c>
      <c r="S301" s="74">
        <f t="shared" si="252"/>
        <v>6.2850541703328986</v>
      </c>
      <c r="T301" s="74">
        <f t="shared" si="252"/>
        <v>5.4270869309062846</v>
      </c>
      <c r="U301" s="74">
        <f t="shared" si="252"/>
        <v>-2.1037925594055196</v>
      </c>
      <c r="V301" s="74">
        <f t="shared" si="252"/>
        <v>1.4822068741526522</v>
      </c>
      <c r="W301" s="74">
        <f t="shared" si="252"/>
        <v>6.058262313763052</v>
      </c>
      <c r="X301" s="74">
        <f t="shared" si="252"/>
        <v>1.450282558203341</v>
      </c>
      <c r="AK301" s="325" t="s">
        <v>26</v>
      </c>
      <c r="AL301" s="464">
        <v>825056</v>
      </c>
      <c r="AM301" s="465">
        <v>848204</v>
      </c>
      <c r="AN301" s="465">
        <v>924696</v>
      </c>
      <c r="AO301" s="465">
        <v>985514</v>
      </c>
      <c r="AP301" s="465">
        <v>997791</v>
      </c>
      <c r="AQ301" s="465">
        <v>1005984</v>
      </c>
      <c r="AR301" s="465">
        <v>1073238</v>
      </c>
      <c r="AS301" s="465">
        <v>1070624</v>
      </c>
      <c r="AT301" s="465">
        <v>1030760</v>
      </c>
      <c r="AU301" s="465">
        <v>1072544</v>
      </c>
      <c r="AV301" s="465">
        <v>1109892</v>
      </c>
      <c r="AW301" s="465">
        <v>1163376</v>
      </c>
      <c r="AX301" s="465">
        <v>1129593</v>
      </c>
      <c r="AY301" s="465">
        <v>1205011</v>
      </c>
      <c r="AZ301" s="466">
        <v>1233423</v>
      </c>
      <c r="BA301" s="466">
        <v>1292983</v>
      </c>
      <c r="BB301" s="465">
        <v>1269580</v>
      </c>
      <c r="BC301" s="482">
        <v>1292276.71</v>
      </c>
      <c r="BD301" s="465">
        <v>1306049</v>
      </c>
      <c r="BE301" s="482">
        <v>1405757</v>
      </c>
      <c r="BF301" s="467">
        <v>1431391</v>
      </c>
    </row>
    <row r="302" spans="4:58" ht="15.75" thickBot="1" x14ac:dyDescent="0.3">
      <c r="D302" s="33" t="s">
        <v>56</v>
      </c>
      <c r="E302" s="171" t="s">
        <v>0</v>
      </c>
      <c r="F302" s="94" t="s">
        <v>1</v>
      </c>
      <c r="G302" s="94" t="s">
        <v>2</v>
      </c>
      <c r="H302" s="94" t="s">
        <v>3</v>
      </c>
      <c r="I302" s="94" t="s">
        <v>4</v>
      </c>
      <c r="J302" s="94" t="s">
        <v>5</v>
      </c>
      <c r="K302" s="94" t="s">
        <v>6</v>
      </c>
      <c r="L302" s="94" t="s">
        <v>7</v>
      </c>
      <c r="M302" s="94" t="s">
        <v>27</v>
      </c>
      <c r="N302" s="94" t="s">
        <v>9</v>
      </c>
      <c r="O302" s="94" t="s">
        <v>10</v>
      </c>
      <c r="P302" s="94" t="s">
        <v>11</v>
      </c>
      <c r="Q302" s="73" t="s">
        <v>12</v>
      </c>
      <c r="R302" s="94" t="s">
        <v>13</v>
      </c>
      <c r="S302" s="94" t="s">
        <v>14</v>
      </c>
      <c r="T302" s="95" t="s">
        <v>15</v>
      </c>
      <c r="U302" s="75" t="s">
        <v>16</v>
      </c>
      <c r="V302" s="94" t="s">
        <v>17</v>
      </c>
      <c r="W302" s="94" t="s">
        <v>18</v>
      </c>
      <c r="X302" s="75" t="s">
        <v>19</v>
      </c>
      <c r="Y302" s="94" t="s">
        <v>20</v>
      </c>
      <c r="Z302" s="95" t="s">
        <v>201</v>
      </c>
      <c r="AA302" s="94" t="s">
        <v>57</v>
      </c>
      <c r="AB302" s="75" t="s">
        <v>58</v>
      </c>
      <c r="AC302" s="172" t="s">
        <v>59</v>
      </c>
      <c r="AF302" s="151" t="s">
        <v>99</v>
      </c>
      <c r="AG302" s="96"/>
      <c r="AH302" s="96" t="s">
        <v>100</v>
      </c>
      <c r="AK302" s="22" t="s">
        <v>430</v>
      </c>
      <c r="AL302" s="484">
        <f>AL295/AL301*100</f>
        <v>8.2813303669084259</v>
      </c>
      <c r="AM302" s="484">
        <f t="shared" ref="AM302:AX302" si="253">AM295/AM301*100</f>
        <v>8.0270887607226555</v>
      </c>
      <c r="AN302" s="484">
        <f t="shared" si="253"/>
        <v>7.3487325081972878</v>
      </c>
      <c r="AO302" s="484">
        <f t="shared" si="253"/>
        <v>5.5774906854697148</v>
      </c>
      <c r="AP302" s="484">
        <f t="shared" si="253"/>
        <v>5.5006021556618565</v>
      </c>
      <c r="AQ302" s="484">
        <f t="shared" si="253"/>
        <v>5.2753965688321092</v>
      </c>
      <c r="AR302" s="484">
        <f t="shared" si="253"/>
        <v>4.4716509345997819</v>
      </c>
      <c r="AS302" s="484">
        <f t="shared" si="253"/>
        <v>4.8158619830743561</v>
      </c>
      <c r="AT302" s="484">
        <f t="shared" si="253"/>
        <v>6.6864255500795524</v>
      </c>
      <c r="AU302" s="484">
        <f t="shared" si="253"/>
        <v>6.4259368380224959</v>
      </c>
      <c r="AV302" s="484">
        <f t="shared" si="253"/>
        <v>6.8853546110792765</v>
      </c>
      <c r="AW302" s="485">
        <f t="shared" si="253"/>
        <v>5.4141567300683526</v>
      </c>
      <c r="AX302" s="485">
        <f t="shared" si="253"/>
        <v>4.8828206265442509</v>
      </c>
      <c r="AY302" s="485">
        <f>AY295/AY301*100</f>
        <v>5.2009483730853905</v>
      </c>
      <c r="AZ302" s="485">
        <f t="shared" ref="AZ302:BD302" si="254">AZ295/AZ301*100</f>
        <v>5.0156353497543016</v>
      </c>
      <c r="BA302" s="485">
        <f t="shared" si="254"/>
        <v>5.2767901820828271</v>
      </c>
      <c r="BB302" s="485">
        <f t="shared" si="254"/>
        <v>5.927787142204509</v>
      </c>
      <c r="BC302" s="485">
        <f t="shared" si="254"/>
        <v>5.9548391922965171</v>
      </c>
      <c r="BD302" s="258">
        <f t="shared" si="254"/>
        <v>5.8110377175741492</v>
      </c>
      <c r="BE302" s="546">
        <f>BE295/BE301*100</f>
        <v>5.3596745383448203</v>
      </c>
      <c r="BF302" s="546">
        <f>BF295/BF301*100</f>
        <v>5.9087279436576035</v>
      </c>
    </row>
    <row r="303" spans="4:58" x14ac:dyDescent="0.25">
      <c r="D303" s="279" t="s">
        <v>34</v>
      </c>
      <c r="E303" s="70">
        <v>52888</v>
      </c>
      <c r="F303" s="63">
        <v>56562</v>
      </c>
      <c r="G303" s="63">
        <v>80131</v>
      </c>
      <c r="H303" s="63">
        <v>171628</v>
      </c>
      <c r="I303" s="63">
        <v>203857</v>
      </c>
      <c r="J303" s="63">
        <v>215221</v>
      </c>
      <c r="K303" s="63">
        <v>218622</v>
      </c>
      <c r="L303" s="63">
        <v>208454</v>
      </c>
      <c r="M303" s="63">
        <v>207268</v>
      </c>
      <c r="N303" s="63">
        <v>228722</v>
      </c>
      <c r="O303" s="63">
        <v>231635</v>
      </c>
      <c r="P303" s="63">
        <v>232901</v>
      </c>
      <c r="Q303" s="63">
        <v>198541</v>
      </c>
      <c r="R303" s="63">
        <v>224917</v>
      </c>
      <c r="S303" s="63">
        <v>237159</v>
      </c>
      <c r="T303" s="63">
        <v>244600</v>
      </c>
      <c r="U303" s="64">
        <f>'[15]2019. IV. Állomány adatok'!B17+'[15]2019. IV. Állomány adatok'!J17</f>
        <v>238451</v>
      </c>
      <c r="V303" s="63">
        <f>'[15]2020. I. Állomány adatok'!B18+'[15]2020. I. Állomány adatok'!J18</f>
        <v>236376</v>
      </c>
      <c r="W303" s="63">
        <f>'[15]2020. II. Állományi adatok'!B18+'[15]2020. II. Állományi adatok'!J18</f>
        <v>248606</v>
      </c>
      <c r="X303" s="64">
        <v>251656</v>
      </c>
      <c r="Y303" s="63">
        <f>'[15]2020. IV. Állományi adatok'!B18+'[15]2020. IV. Állományi adatok'!J18</f>
        <v>251964</v>
      </c>
      <c r="Z303" s="5">
        <v>252057</v>
      </c>
      <c r="AA303" s="597"/>
      <c r="AB303" s="597"/>
      <c r="AC303" s="597"/>
      <c r="AF303" s="32">
        <f>Z303/Y303*100-100</f>
        <v>3.6910034766862054E-2</v>
      </c>
      <c r="AG303" s="1"/>
      <c r="AH303" s="598">
        <f>Z303/V303*100-100</f>
        <v>6.6339222256066535</v>
      </c>
      <c r="AI303" s="1"/>
    </row>
    <row r="304" spans="4:58" x14ac:dyDescent="0.25">
      <c r="D304" s="599" t="s">
        <v>35</v>
      </c>
      <c r="E304" s="70">
        <v>130330</v>
      </c>
      <c r="F304" s="63">
        <v>127798</v>
      </c>
      <c r="G304" s="63">
        <v>125184</v>
      </c>
      <c r="H304" s="63">
        <v>120775</v>
      </c>
      <c r="I304" s="63">
        <v>115174</v>
      </c>
      <c r="J304" s="63">
        <v>114843</v>
      </c>
      <c r="K304" s="63">
        <v>118190</v>
      </c>
      <c r="L304" s="63">
        <v>115708</v>
      </c>
      <c r="M304" s="63">
        <v>103112</v>
      </c>
      <c r="N304" s="63">
        <v>120399</v>
      </c>
      <c r="O304" s="63">
        <f>'[15]2018. II. - Állományi_Új'!B54+'[15]2018. II. - Állományi_Új'!H54</f>
        <v>127700</v>
      </c>
      <c r="P304" s="63">
        <v>128483</v>
      </c>
      <c r="Q304" s="63">
        <v>107367</v>
      </c>
      <c r="R304" s="63">
        <v>145581</v>
      </c>
      <c r="S304" s="63">
        <v>156625</v>
      </c>
      <c r="T304" s="63">
        <v>170555</v>
      </c>
      <c r="U304" s="64">
        <f>'[15]2019. IV. Állomány adatok'!B59+'[15]2019. IV. Állomány adatok'!J59</f>
        <v>167970</v>
      </c>
      <c r="V304" s="63">
        <f>'[15]2020. I. Állomány adatok'!B65+'[15]2020. I. Állomány adatok'!J65</f>
        <v>176069</v>
      </c>
      <c r="W304" s="63">
        <f>'[15]2020. II. Állományi adatok'!B65+'[15]2020. II. Állományi adatok'!J65</f>
        <v>188826</v>
      </c>
      <c r="X304" s="64">
        <f>'[15]2020. III. Állományi adatok'!B65+'[15]2020. III. Állományi adatok'!J65</f>
        <v>192120</v>
      </c>
      <c r="Y304" s="63">
        <f>'[15]2020. IV. Állományi adatok'!B65+'[15]2020. IV. Állományi adatok'!J65</f>
        <v>207387</v>
      </c>
      <c r="Z304" s="5">
        <v>206724</v>
      </c>
      <c r="AA304" s="597"/>
      <c r="AB304" s="597"/>
      <c r="AC304" s="597"/>
      <c r="AF304" s="32">
        <f>Z304/Y304*100-100</f>
        <v>-0.31969216971170056</v>
      </c>
      <c r="AH304" s="598">
        <f>Z304/V304*100-100</f>
        <v>17.410787816140271</v>
      </c>
    </row>
    <row r="305" spans="4:53" ht="15.75" thickBot="1" x14ac:dyDescent="0.3">
      <c r="D305" s="72" t="s">
        <v>60</v>
      </c>
      <c r="E305" s="600">
        <v>183218</v>
      </c>
      <c r="F305" s="471">
        <v>184360</v>
      </c>
      <c r="G305" s="471">
        <v>205315</v>
      </c>
      <c r="H305" s="471">
        <v>292403</v>
      </c>
      <c r="I305" s="471">
        <v>319031</v>
      </c>
      <c r="J305" s="471">
        <v>330064</v>
      </c>
      <c r="K305" s="471">
        <v>336812</v>
      </c>
      <c r="L305" s="471">
        <v>324162</v>
      </c>
      <c r="M305" s="471">
        <v>310380</v>
      </c>
      <c r="N305" s="471">
        <v>349121</v>
      </c>
      <c r="O305" s="471">
        <v>359335</v>
      </c>
      <c r="P305" s="471">
        <v>361384</v>
      </c>
      <c r="Q305" s="471">
        <v>305908</v>
      </c>
      <c r="R305" s="471">
        <v>370498</v>
      </c>
      <c r="S305" s="471">
        <v>393784</v>
      </c>
      <c r="T305" s="471">
        <v>415155</v>
      </c>
      <c r="U305" s="472">
        <v>406421</v>
      </c>
      <c r="V305" s="471">
        <v>412445</v>
      </c>
      <c r="W305" s="471">
        <v>437432</v>
      </c>
      <c r="X305" s="471">
        <v>443776</v>
      </c>
      <c r="Y305" s="471">
        <v>459351</v>
      </c>
      <c r="Z305" s="471">
        <v>458781</v>
      </c>
      <c r="AA305" s="601"/>
      <c r="AB305" s="601"/>
      <c r="AC305" s="601"/>
      <c r="AF305" s="602">
        <f>Z305/Y305*100-100</f>
        <v>-0.12408811562400501</v>
      </c>
      <c r="AG305" s="603"/>
      <c r="AH305" s="604">
        <f>Z305/V305*100-100</f>
        <v>11.234467625986497</v>
      </c>
      <c r="AI305" s="605" t="s">
        <v>431</v>
      </c>
    </row>
    <row r="306" spans="4:53" ht="15.75" thickBot="1" x14ac:dyDescent="0.3">
      <c r="D306" t="s">
        <v>61</v>
      </c>
      <c r="F306" s="74">
        <f>F310/E310*100-100</f>
        <v>7.9956385935283834</v>
      </c>
      <c r="G306" s="74">
        <f t="shared" ref="G306:X306" si="255">G310/F310*100-100</f>
        <v>6.4282027146023779</v>
      </c>
      <c r="H306" s="74">
        <f t="shared" si="255"/>
        <v>-10.513552068473615</v>
      </c>
      <c r="I306" s="74">
        <f t="shared" si="255"/>
        <v>2.5003985333971031</v>
      </c>
      <c r="J306" s="74">
        <f t="shared" si="255"/>
        <v>-0.56533200618987678</v>
      </c>
      <c r="K306" s="74">
        <f t="shared" si="255"/>
        <v>3.0789082662078755</v>
      </c>
      <c r="L306" s="74">
        <f t="shared" si="255"/>
        <v>-13.003861706889623</v>
      </c>
      <c r="M306" s="74">
        <f t="shared" si="255"/>
        <v>-8.2857317275240518</v>
      </c>
      <c r="N306" s="74">
        <f t="shared" si="255"/>
        <v>0</v>
      </c>
      <c r="O306" s="74">
        <f t="shared" si="255"/>
        <v>-0.73883194188235279</v>
      </c>
      <c r="P306" s="74">
        <f t="shared" si="255"/>
        <v>6.254490415656818</v>
      </c>
      <c r="Q306" s="74">
        <f t="shared" si="255"/>
        <v>-1.7084693196775902</v>
      </c>
      <c r="R306" s="74">
        <f t="shared" si="255"/>
        <v>5.4383020096676802</v>
      </c>
      <c r="S306" s="74">
        <f t="shared" si="255"/>
        <v>10.144234115108915</v>
      </c>
      <c r="T306" s="74">
        <f t="shared" si="255"/>
        <v>5.9551546839581988</v>
      </c>
      <c r="U306" s="74">
        <f t="shared" si="255"/>
        <v>-5.7590959576006497</v>
      </c>
      <c r="V306" s="74">
        <f t="shared" si="255"/>
        <v>2.035166538793149</v>
      </c>
      <c r="W306" s="74">
        <f t="shared" si="255"/>
        <v>-5.6868217054263539</v>
      </c>
      <c r="X306" s="74">
        <f t="shared" si="255"/>
        <v>14.221133613887432</v>
      </c>
      <c r="Y306" s="1"/>
      <c r="AH306" s="267"/>
      <c r="AI306" s="27"/>
      <c r="AK306" s="1109" t="s">
        <v>432</v>
      </c>
      <c r="AL306" s="1110"/>
      <c r="AM306" s="1110"/>
      <c r="AN306" s="1110"/>
      <c r="AO306" s="1110"/>
      <c r="AP306" s="1110"/>
      <c r="AQ306" s="1110"/>
      <c r="AR306" s="1110"/>
      <c r="AS306" s="1110"/>
      <c r="AT306" s="1110"/>
      <c r="AU306" s="1110"/>
      <c r="AV306" s="1110"/>
      <c r="AW306" s="1110"/>
      <c r="AX306" s="1110"/>
      <c r="AY306" s="1110"/>
      <c r="AZ306" s="1110"/>
      <c r="BA306" s="1111"/>
    </row>
    <row r="307" spans="4:53" ht="15.75" thickBot="1" x14ac:dyDescent="0.3">
      <c r="D307" s="67" t="s">
        <v>62</v>
      </c>
      <c r="E307" s="171" t="s">
        <v>0</v>
      </c>
      <c r="F307" s="94" t="s">
        <v>1</v>
      </c>
      <c r="G307" s="94" t="s">
        <v>2</v>
      </c>
      <c r="H307" s="94" t="s">
        <v>3</v>
      </c>
      <c r="I307" s="94" t="s">
        <v>4</v>
      </c>
      <c r="J307" s="94" t="s">
        <v>5</v>
      </c>
      <c r="K307" s="94" t="s">
        <v>6</v>
      </c>
      <c r="L307" s="94" t="s">
        <v>7</v>
      </c>
      <c r="M307" s="94" t="s">
        <v>27</v>
      </c>
      <c r="N307" s="94" t="s">
        <v>9</v>
      </c>
      <c r="O307" s="94" t="s">
        <v>10</v>
      </c>
      <c r="P307" s="73" t="s">
        <v>11</v>
      </c>
      <c r="Q307" s="94" t="s">
        <v>12</v>
      </c>
      <c r="R307" s="94" t="s">
        <v>13</v>
      </c>
      <c r="S307" s="94" t="s">
        <v>14</v>
      </c>
      <c r="T307" s="95" t="s">
        <v>15</v>
      </c>
      <c r="U307" s="75" t="s">
        <v>16</v>
      </c>
      <c r="V307" s="94" t="s">
        <v>17</v>
      </c>
      <c r="W307" s="94" t="s">
        <v>18</v>
      </c>
      <c r="X307" s="75" t="s">
        <v>19</v>
      </c>
      <c r="Y307" s="94" t="s">
        <v>20</v>
      </c>
      <c r="Z307" s="95" t="s">
        <v>201</v>
      </c>
      <c r="AA307" s="94" t="s">
        <v>57</v>
      </c>
      <c r="AB307" s="75" t="s">
        <v>58</v>
      </c>
      <c r="AC307" s="172" t="s">
        <v>59</v>
      </c>
      <c r="AF307" s="151" t="s">
        <v>99</v>
      </c>
      <c r="AG307" s="96"/>
      <c r="AH307" s="606" t="s">
        <v>100</v>
      </c>
      <c r="AI307" s="27"/>
      <c r="AK307" s="416" t="s">
        <v>433</v>
      </c>
      <c r="AL307" s="217" t="s">
        <v>235</v>
      </c>
      <c r="AM307" s="217" t="s">
        <v>236</v>
      </c>
      <c r="AN307" s="217" t="s">
        <v>237</v>
      </c>
      <c r="AO307" s="217" t="s">
        <v>238</v>
      </c>
      <c r="AP307" s="217" t="s">
        <v>239</v>
      </c>
      <c r="AQ307" s="217" t="s">
        <v>240</v>
      </c>
      <c r="AR307" s="217" t="s">
        <v>241</v>
      </c>
      <c r="AS307" s="218" t="s">
        <v>242</v>
      </c>
      <c r="AT307" s="218" t="s">
        <v>243</v>
      </c>
      <c r="AU307" s="218" t="s">
        <v>244</v>
      </c>
      <c r="AV307" s="218" t="s">
        <v>245</v>
      </c>
      <c r="AW307" s="218" t="s">
        <v>246</v>
      </c>
      <c r="AX307" s="218" t="s">
        <v>247</v>
      </c>
      <c r="AY307" s="218" t="s">
        <v>248</v>
      </c>
      <c r="AZ307" s="218" t="s">
        <v>249</v>
      </c>
      <c r="BA307" s="218" t="s">
        <v>250</v>
      </c>
    </row>
    <row r="308" spans="4:53" x14ac:dyDescent="0.25">
      <c r="D308" s="441" t="s">
        <v>34</v>
      </c>
      <c r="E308" s="70">
        <v>23090</v>
      </c>
      <c r="F308" s="63">
        <v>29452</v>
      </c>
      <c r="G308" s="63">
        <v>33547</v>
      </c>
      <c r="H308" s="63">
        <v>30680</v>
      </c>
      <c r="I308" s="63">
        <v>34980</v>
      </c>
      <c r="J308" s="63">
        <v>37545</v>
      </c>
      <c r="K308" s="63">
        <v>43186</v>
      </c>
      <c r="L308" s="63">
        <v>32698</v>
      </c>
      <c r="M308" s="63">
        <v>30001</v>
      </c>
      <c r="N308" s="63">
        <v>30001</v>
      </c>
      <c r="O308" s="63">
        <v>28814</v>
      </c>
      <c r="P308" s="63">
        <v>29861</v>
      </c>
      <c r="Q308" s="63">
        <v>30951</v>
      </c>
      <c r="R308" s="63">
        <v>30368</v>
      </c>
      <c r="S308" s="63">
        <v>35314</v>
      </c>
      <c r="T308" s="63">
        <v>38616</v>
      </c>
      <c r="U308" s="64">
        <f>'[15]2019. IV. Állomány adatok'!C17+'[15]2019. IV. Állomány adatok'!K17</f>
        <v>33478</v>
      </c>
      <c r="V308" s="63">
        <f>'[15]2020. I. Állomány adatok'!C18+'[15]2020. I. Állomány adatok'!K18</f>
        <v>31518</v>
      </c>
      <c r="W308" s="63">
        <f>'[15]2020. II. Állományi adatok'!C18+'[15]2020. II. Állományi adatok'!K18</f>
        <v>22349</v>
      </c>
      <c r="X308" s="64">
        <v>23533</v>
      </c>
      <c r="Y308" s="63">
        <f>'[15]2020. IV. Állományi adatok'!C18+'[15]2020. IV. Állományi adatok'!K18</f>
        <v>22760</v>
      </c>
      <c r="Z308" s="5">
        <v>24561</v>
      </c>
      <c r="AA308" s="597"/>
      <c r="AB308" s="597"/>
      <c r="AC308" s="597"/>
      <c r="AF308" s="32">
        <f>Z308/Y308*100-100</f>
        <v>7.9130052724077302</v>
      </c>
      <c r="AG308" s="32"/>
      <c r="AH308" s="598">
        <f>Z308/V308*100-100</f>
        <v>-22.073101085094223</v>
      </c>
      <c r="AI308" s="27"/>
      <c r="AK308" s="24" t="s">
        <v>332</v>
      </c>
      <c r="AL308" s="245">
        <f>AP274/AL274*100-100</f>
        <v>102.44186751936962</v>
      </c>
      <c r="AM308" s="245">
        <f>AQ274/AM274*100-100</f>
        <v>102.27619526383342</v>
      </c>
      <c r="AN308" s="245">
        <f>AR274/AN274*100-100</f>
        <v>35.496297260967054</v>
      </c>
      <c r="AO308" s="245">
        <f>AS274/AO274*100-100</f>
        <v>16.997057568076073</v>
      </c>
      <c r="AP308" s="245">
        <f>AU274/AP274*100-100</f>
        <v>31.118465549523563</v>
      </c>
      <c r="AQ308" s="245">
        <f>AV274/AQ274*100-100</f>
        <v>34.542320583302001</v>
      </c>
      <c r="AR308" s="245">
        <f>AW274/AR274*100-100</f>
        <v>47.860622801947557</v>
      </c>
      <c r="AS308" s="245">
        <f>AX274/AS274*100-100</f>
        <v>41.155208278334072</v>
      </c>
      <c r="AT308" s="246">
        <f>AY274/AU274*100-100</f>
        <v>18.269589954311655</v>
      </c>
      <c r="AU308" s="246">
        <f>AZ274/AV274*100-100</f>
        <v>-7.6742197520307798</v>
      </c>
      <c r="AV308" s="246">
        <f>BA274/AW274*100-100</f>
        <v>-26.708521514715372</v>
      </c>
      <c r="AW308" s="246">
        <f>BB274/AX274*100-100</f>
        <v>-49.48298507462686</v>
      </c>
      <c r="AX308" s="246">
        <f t="shared" ref="AX308:BA309" si="256">BC274/AY274*100-100</f>
        <v>-46.667800481061249</v>
      </c>
      <c r="AY308" s="246">
        <f t="shared" si="256"/>
        <v>-38.555735638393664</v>
      </c>
      <c r="AZ308" s="246">
        <f t="shared" si="256"/>
        <v>-18.188589808701536</v>
      </c>
      <c r="BA308" s="246">
        <f t="shared" si="256"/>
        <v>3.5076108537392514</v>
      </c>
    </row>
    <row r="309" spans="4:53" ht="15.75" thickBot="1" x14ac:dyDescent="0.3">
      <c r="D309" s="69" t="s">
        <v>35</v>
      </c>
      <c r="E309" s="70">
        <v>98889</v>
      </c>
      <c r="F309" s="63">
        <v>102280</v>
      </c>
      <c r="G309" s="63">
        <v>106653</v>
      </c>
      <c r="H309" s="63">
        <v>94780</v>
      </c>
      <c r="I309" s="63">
        <v>93617</v>
      </c>
      <c r="J309" s="63">
        <v>90325</v>
      </c>
      <c r="K309" s="63">
        <v>88621</v>
      </c>
      <c r="L309" s="63">
        <v>81969</v>
      </c>
      <c r="M309" s="63">
        <v>75165</v>
      </c>
      <c r="N309" s="63">
        <v>75165</v>
      </c>
      <c r="O309" s="63">
        <v>75575</v>
      </c>
      <c r="P309" s="63">
        <v>81057</v>
      </c>
      <c r="Q309" s="63">
        <v>78072</v>
      </c>
      <c r="R309" s="63">
        <v>84584</v>
      </c>
      <c r="S309" s="63">
        <v>91299</v>
      </c>
      <c r="T309" s="63">
        <v>95537</v>
      </c>
      <c r="U309" s="64">
        <f>'[15]2019. IV. Állomány adatok'!C59+'[15]2019. IV. Állomány adatok'!K59</f>
        <v>92949</v>
      </c>
      <c r="V309" s="63">
        <f>'[15]2020. I. Állomány adatok'!C65+'[15]2020. I. Állomány adatok'!K65</f>
        <v>97482</v>
      </c>
      <c r="W309" s="63">
        <f>'[15]2020. II. Állományi adatok'!C65+'[15]2020. II. Állományi adatok'!K65</f>
        <v>99315</v>
      </c>
      <c r="X309" s="64">
        <v>115433</v>
      </c>
      <c r="Y309" s="63">
        <f>'[15]2020. IV. Állományi adatok'!C65+'[15]2020. IV. Állományi adatok'!K65</f>
        <v>123472</v>
      </c>
      <c r="Z309" s="5">
        <v>119962</v>
      </c>
      <c r="AA309" s="597"/>
      <c r="AB309" s="597"/>
      <c r="AC309" s="597"/>
      <c r="AF309" s="32">
        <f>Z309/Y309*100-100</f>
        <v>-2.8427497732279363</v>
      </c>
      <c r="AH309" s="598">
        <f t="shared" ref="AH309:AH310" si="257">Z309/V309*100-100</f>
        <v>23.060667610430642</v>
      </c>
      <c r="AI309" s="27"/>
      <c r="AK309" s="493" t="s">
        <v>333</v>
      </c>
      <c r="AL309" s="494">
        <f t="shared" ref="AL309:AO309" si="258">AP275/AL275*100-100</f>
        <v>10.188854234215896</v>
      </c>
      <c r="AM309" s="494">
        <f t="shared" si="258"/>
        <v>13.527726670573955</v>
      </c>
      <c r="AN309" s="494">
        <f t="shared" si="258"/>
        <v>-17.158111027498236</v>
      </c>
      <c r="AO309" s="494">
        <f t="shared" si="258"/>
        <v>-32.447403329387157</v>
      </c>
      <c r="AP309" s="494">
        <f>AU275/AP275*100-100</f>
        <v>4.4332186108610188</v>
      </c>
      <c r="AQ309" s="494">
        <f t="shared" ref="AQ309:AS309" si="259">AV275/AQ275*100-100</f>
        <v>3.8328860577619963</v>
      </c>
      <c r="AR309" s="494">
        <f t="shared" si="259"/>
        <v>26.997976117420095</v>
      </c>
      <c r="AS309" s="494">
        <f t="shared" si="259"/>
        <v>45.797308184918023</v>
      </c>
      <c r="AT309" s="533">
        <f>AY275/AU275*100-100</f>
        <v>-20.22595085112215</v>
      </c>
      <c r="AU309" s="533">
        <f t="shared" ref="AU309:AW309" si="260">AZ275/AV275*100-100</f>
        <v>-16.601864028818113</v>
      </c>
      <c r="AV309" s="533">
        <f t="shared" si="260"/>
        <v>-14.928852558280354</v>
      </c>
      <c r="AW309" s="533">
        <f t="shared" si="260"/>
        <v>-18.472683368548147</v>
      </c>
      <c r="AX309" s="533">
        <f t="shared" si="256"/>
        <v>2.5651792189945581</v>
      </c>
      <c r="AY309" s="533">
        <f t="shared" si="256"/>
        <v>-6.5613108909533366</v>
      </c>
      <c r="AZ309" s="533">
        <f t="shared" si="256"/>
        <v>7.455781344531843</v>
      </c>
      <c r="BA309" s="533">
        <f t="shared" si="256"/>
        <v>7.4416882636060677</v>
      </c>
    </row>
    <row r="310" spans="4:53" ht="15.75" thickBot="1" x14ac:dyDescent="0.3">
      <c r="D310" s="72" t="s">
        <v>63</v>
      </c>
      <c r="E310" s="600">
        <v>121979</v>
      </c>
      <c r="F310" s="471">
        <v>131732</v>
      </c>
      <c r="G310" s="471">
        <v>140200</v>
      </c>
      <c r="H310" s="471">
        <v>125460</v>
      </c>
      <c r="I310" s="471">
        <v>128597</v>
      </c>
      <c r="J310" s="471">
        <v>127870</v>
      </c>
      <c r="K310" s="471">
        <v>131807</v>
      </c>
      <c r="L310" s="471">
        <v>114667</v>
      </c>
      <c r="M310" s="471">
        <v>105166</v>
      </c>
      <c r="N310" s="471">
        <v>105166</v>
      </c>
      <c r="O310" s="471">
        <v>104389</v>
      </c>
      <c r="P310" s="471">
        <v>110918</v>
      </c>
      <c r="Q310" s="471">
        <v>109023</v>
      </c>
      <c r="R310" s="471">
        <v>114952</v>
      </c>
      <c r="S310" s="471">
        <v>126613</v>
      </c>
      <c r="T310" s="471">
        <v>134153</v>
      </c>
      <c r="U310" s="472">
        <v>126427</v>
      </c>
      <c r="V310" s="471">
        <v>129000</v>
      </c>
      <c r="W310" s="471">
        <v>121664</v>
      </c>
      <c r="X310" s="471">
        <v>138966</v>
      </c>
      <c r="Y310" s="471">
        <v>146232</v>
      </c>
      <c r="Z310" s="471">
        <v>144523</v>
      </c>
      <c r="AA310" s="601"/>
      <c r="AB310" s="601"/>
      <c r="AC310" s="601"/>
      <c r="AF310" s="607">
        <f>Z310/Y310*100-100</f>
        <v>-1.1686908474205353</v>
      </c>
      <c r="AG310" s="603"/>
      <c r="AH310" s="608">
        <f t="shared" si="257"/>
        <v>12.033333333333346</v>
      </c>
      <c r="AI310" s="605" t="s">
        <v>434</v>
      </c>
      <c r="AK310" s="431" t="s">
        <v>435</v>
      </c>
      <c r="AL310" s="496">
        <f t="shared" ref="AL310:AO310" si="261">AP278/AL278*100-100</f>
        <v>39.229945544281918</v>
      </c>
      <c r="AM310" s="496">
        <f t="shared" si="261"/>
        <v>43.941387628786487</v>
      </c>
      <c r="AN310" s="496">
        <f t="shared" si="261"/>
        <v>3.4032745410045777</v>
      </c>
      <c r="AO310" s="496">
        <f t="shared" si="261"/>
        <v>-11.195786408259167</v>
      </c>
      <c r="AP310" s="496">
        <f>AU278/AP278*100-100</f>
        <v>16.647594458612929</v>
      </c>
      <c r="AQ310" s="496">
        <f t="shared" ref="AQ310:AS310" si="262">AV278/AQ278*100-100</f>
        <v>18.621883814736861</v>
      </c>
      <c r="AR310" s="496">
        <f t="shared" si="262"/>
        <v>37.673278337384772</v>
      </c>
      <c r="AS310" s="496">
        <f t="shared" si="262"/>
        <v>43.1686738120043</v>
      </c>
      <c r="AT310" s="433">
        <f>AY278/AU278*100-100</f>
        <v>-0.41986989946776987</v>
      </c>
      <c r="AU310" s="433">
        <f t="shared" ref="AU310:BA310" si="263">AZ278/AV278*100-100</f>
        <v>-11.725480020757644</v>
      </c>
      <c r="AV310" s="433">
        <f t="shared" si="263"/>
        <v>-21.402465633864281</v>
      </c>
      <c r="AW310" s="433">
        <f t="shared" si="263"/>
        <v>-35.785614292380501</v>
      </c>
      <c r="AX310" s="433">
        <f t="shared" si="263"/>
        <v>-27.519448898390635</v>
      </c>
      <c r="AY310" s="433">
        <f t="shared" si="263"/>
        <v>-24.839069986185009</v>
      </c>
      <c r="AZ310" s="433">
        <f t="shared" si="263"/>
        <v>-5.6858798625811175</v>
      </c>
      <c r="BA310" s="433">
        <f t="shared" si="263"/>
        <v>5.7138111452537146</v>
      </c>
    </row>
    <row r="311" spans="4:53" ht="15.75" thickBot="1" x14ac:dyDescent="0.3">
      <c r="D311" t="s">
        <v>64</v>
      </c>
      <c r="F311" s="74">
        <f>F315/E315*100-100</f>
        <v>2.8665376877445254</v>
      </c>
      <c r="G311" s="74">
        <f t="shared" ref="G311:X311" si="264">G315/F315*100-100</f>
        <v>15.092186819647793</v>
      </c>
      <c r="H311" s="74">
        <f t="shared" si="264"/>
        <v>-22.690072432224227</v>
      </c>
      <c r="I311" s="74">
        <f t="shared" si="264"/>
        <v>15.102543462124899</v>
      </c>
      <c r="J311" s="74">
        <f t="shared" si="264"/>
        <v>0.12647899071436086</v>
      </c>
      <c r="K311" s="74">
        <f t="shared" si="264"/>
        <v>23.378158191254371</v>
      </c>
      <c r="L311" s="74">
        <f t="shared" si="264"/>
        <v>-2.7697372563869891</v>
      </c>
      <c r="M311" s="74">
        <f t="shared" si="264"/>
        <v>-18.635830605811378</v>
      </c>
      <c r="N311" s="74">
        <f t="shared" si="264"/>
        <v>1.2181247830241659E-2</v>
      </c>
      <c r="O311" s="74">
        <f t="shared" si="264"/>
        <v>6.9037183365228287</v>
      </c>
      <c r="P311" s="74">
        <f t="shared" si="264"/>
        <v>17.198567908838939</v>
      </c>
      <c r="Q311" s="74">
        <f t="shared" si="264"/>
        <v>10.461182189958436</v>
      </c>
      <c r="R311" s="74">
        <f t="shared" si="264"/>
        <v>-2.0511028673808482</v>
      </c>
      <c r="S311" s="74">
        <f t="shared" si="264"/>
        <v>1.8367563793129591</v>
      </c>
      <c r="T311" s="74">
        <f t="shared" si="264"/>
        <v>4.0253700418859069</v>
      </c>
      <c r="U311" s="74">
        <f t="shared" si="264"/>
        <v>5.9265627798674529</v>
      </c>
      <c r="V311" s="74">
        <f t="shared" si="264"/>
        <v>-3.3676706324781662</v>
      </c>
      <c r="W311" s="74">
        <f t="shared" si="264"/>
        <v>15.764201920654017</v>
      </c>
      <c r="X311" s="74">
        <f t="shared" si="264"/>
        <v>6.0626398210290802</v>
      </c>
      <c r="AH311" s="267"/>
      <c r="AI311" s="27"/>
      <c r="AK311" s="157" t="s">
        <v>436</v>
      </c>
      <c r="AL311" s="217" t="s">
        <v>235</v>
      </c>
      <c r="AM311" s="217" t="s">
        <v>236</v>
      </c>
      <c r="AN311" s="217" t="s">
        <v>237</v>
      </c>
      <c r="AO311" s="217" t="s">
        <v>238</v>
      </c>
      <c r="AP311" s="217" t="s">
        <v>239</v>
      </c>
      <c r="AQ311" s="217" t="s">
        <v>240</v>
      </c>
      <c r="AR311" s="217" t="s">
        <v>241</v>
      </c>
      <c r="AS311" s="3" t="s">
        <v>242</v>
      </c>
      <c r="AT311" s="3" t="s">
        <v>243</v>
      </c>
      <c r="AU311" s="3" t="s">
        <v>244</v>
      </c>
      <c r="AV311" s="3" t="s">
        <v>245</v>
      </c>
      <c r="AW311" s="3" t="s">
        <v>246</v>
      </c>
      <c r="AX311" s="3" t="s">
        <v>247</v>
      </c>
      <c r="AY311" s="3" t="s">
        <v>248</v>
      </c>
      <c r="AZ311" s="3" t="s">
        <v>249</v>
      </c>
      <c r="BA311" s="3" t="s">
        <v>250</v>
      </c>
    </row>
    <row r="312" spans="4:53" ht="15.75" thickBot="1" x14ac:dyDescent="0.3">
      <c r="D312" s="67" t="s">
        <v>65</v>
      </c>
      <c r="E312" s="171" t="s">
        <v>0</v>
      </c>
      <c r="F312" s="94" t="s">
        <v>1</v>
      </c>
      <c r="G312" s="94" t="s">
        <v>2</v>
      </c>
      <c r="H312" s="94" t="s">
        <v>3</v>
      </c>
      <c r="I312" s="94" t="s">
        <v>4</v>
      </c>
      <c r="J312" s="94" t="s">
        <v>5</v>
      </c>
      <c r="K312" s="94" t="s">
        <v>6</v>
      </c>
      <c r="L312" s="94" t="s">
        <v>7</v>
      </c>
      <c r="M312" s="94" t="s">
        <v>27</v>
      </c>
      <c r="N312" s="94" t="s">
        <v>9</v>
      </c>
      <c r="O312" s="94" t="s">
        <v>10</v>
      </c>
      <c r="P312" s="94" t="s">
        <v>11</v>
      </c>
      <c r="Q312" s="73" t="s">
        <v>12</v>
      </c>
      <c r="R312" s="94" t="s">
        <v>13</v>
      </c>
      <c r="S312" s="94" t="s">
        <v>14</v>
      </c>
      <c r="T312" s="95" t="s">
        <v>15</v>
      </c>
      <c r="U312" s="75" t="s">
        <v>16</v>
      </c>
      <c r="V312" s="94" t="s">
        <v>17</v>
      </c>
      <c r="W312" s="94" t="s">
        <v>18</v>
      </c>
      <c r="X312" s="75" t="s">
        <v>19</v>
      </c>
      <c r="Y312" s="94" t="s">
        <v>20</v>
      </c>
      <c r="Z312" s="95" t="s">
        <v>201</v>
      </c>
      <c r="AA312" s="94" t="s">
        <v>57</v>
      </c>
      <c r="AB312" s="75" t="s">
        <v>58</v>
      </c>
      <c r="AC312" s="172" t="s">
        <v>59</v>
      </c>
      <c r="AF312" s="151" t="s">
        <v>99</v>
      </c>
      <c r="AG312" s="96"/>
      <c r="AH312" s="606" t="s">
        <v>100</v>
      </c>
      <c r="AI312" s="27"/>
      <c r="AK312" s="24" t="s">
        <v>332</v>
      </c>
      <c r="AL312" s="231">
        <f t="shared" ref="AL312:AO313" si="265">AP291/AL291*100-100</f>
        <v>2.0371054157984503</v>
      </c>
      <c r="AM312" s="231">
        <f t="shared" si="265"/>
        <v>29.992193528690422</v>
      </c>
      <c r="AN312" s="231">
        <f t="shared" si="265"/>
        <v>49.649900826891951</v>
      </c>
      <c r="AO312" s="231">
        <f t="shared" si="265"/>
        <v>62.215024295820911</v>
      </c>
      <c r="AP312" s="231">
        <f>AU291/AP291*100-100</f>
        <v>45.287443843955486</v>
      </c>
      <c r="AQ312" s="231">
        <f t="shared" ref="AQ312:AS313" si="266">AV291/AQ291*100-100</f>
        <v>30.085949754155962</v>
      </c>
      <c r="AR312" s="231">
        <f t="shared" si="266"/>
        <v>6.1904761904761898</v>
      </c>
      <c r="AS312" s="231">
        <f t="shared" si="266"/>
        <v>14.927543103253839</v>
      </c>
      <c r="AT312" s="534">
        <f>AY291/AU291*100-100</f>
        <v>96.6796875</v>
      </c>
      <c r="AU312" s="534">
        <f t="shared" ref="AU312:BA313" si="267">AZ291/AV291*100-100</f>
        <v>-17.39837398373983</v>
      </c>
      <c r="AV312" s="534">
        <f t="shared" si="267"/>
        <v>-18.086696562032884</v>
      </c>
      <c r="AW312" s="534">
        <f t="shared" si="267"/>
        <v>-52.373660030627875</v>
      </c>
      <c r="AX312" s="534">
        <f t="shared" si="267"/>
        <v>-68.520357497517381</v>
      </c>
      <c r="AY312" s="534">
        <f t="shared" si="267"/>
        <v>-28.740157480314963</v>
      </c>
      <c r="AZ312" s="534">
        <f t="shared" si="267"/>
        <v>-19.890510948905103</v>
      </c>
      <c r="BA312" s="534">
        <f t="shared" si="267"/>
        <v>27.974276527331199</v>
      </c>
    </row>
    <row r="313" spans="4:53" ht="15.75" thickBot="1" x14ac:dyDescent="0.3">
      <c r="D313" s="441" t="s">
        <v>34</v>
      </c>
      <c r="E313" s="70">
        <v>19597.147987</v>
      </c>
      <c r="F313" s="63">
        <v>20782.168768</v>
      </c>
      <c r="G313" s="63">
        <v>25286.538732000001</v>
      </c>
      <c r="H313" s="63">
        <v>24973.684544999996</v>
      </c>
      <c r="I313" s="63">
        <v>26890.769887180002</v>
      </c>
      <c r="J313" s="63">
        <v>30237.238529319999</v>
      </c>
      <c r="K313" s="63">
        <v>40235.230150260002</v>
      </c>
      <c r="L313" s="63">
        <v>34213.279628590004</v>
      </c>
      <c r="M313" s="63">
        <v>24128</v>
      </c>
      <c r="N313" s="63">
        <v>24130</v>
      </c>
      <c r="O313" s="63">
        <v>27852</v>
      </c>
      <c r="P313" s="63">
        <v>33173</v>
      </c>
      <c r="Q313" s="63">
        <v>38555</v>
      </c>
      <c r="R313" s="63">
        <v>37915</v>
      </c>
      <c r="S313" s="63">
        <v>37406</v>
      </c>
      <c r="T313" s="63">
        <v>44827</v>
      </c>
      <c r="U313" s="64">
        <f>'[15]2019. IV. Állomány adatok'!E17+'[15]2019. IV. Állomány adatok'!F17+'[15]2019. IV. Állomány adatok'!L17</f>
        <v>55775</v>
      </c>
      <c r="V313" s="63">
        <f>'[15]2020. I. Állomány adatok'!E18+'[15]2020. I. Állomány adatok'!F18+'[15]2020. I. Állomány adatok'!L18</f>
        <v>50970</v>
      </c>
      <c r="W313" s="63">
        <f>'[15]2020. II. Állományi adatok'!E18+'[15]2020. II. Állományi adatok'!F18+'[15]2020. II. Állományi adatok'!L18</f>
        <v>68108</v>
      </c>
      <c r="X313" s="64">
        <v>73911</v>
      </c>
      <c r="Y313" s="63">
        <f>'[15]2020. IV. Állományi adatok'!E18+'[15]2020. IV. Állományi adatok'!F18+'[15]2020. IV. Állományi adatok'!L18</f>
        <v>69137</v>
      </c>
      <c r="Z313" s="5">
        <v>64140</v>
      </c>
      <c r="AA313" s="597"/>
      <c r="AB313" s="597"/>
      <c r="AC313" s="597"/>
      <c r="AF313" s="32">
        <f>Z313/Y313*100-100</f>
        <v>-7.2276783777138149</v>
      </c>
      <c r="AG313" s="32"/>
      <c r="AH313" s="598">
        <f>Z313/V313*100-100</f>
        <v>25.838728663919966</v>
      </c>
      <c r="AI313" s="27"/>
      <c r="AK313" s="493" t="s">
        <v>333</v>
      </c>
      <c r="AL313" s="402">
        <f t="shared" si="265"/>
        <v>-19.782417082635732</v>
      </c>
      <c r="AM313" s="402">
        <f t="shared" si="265"/>
        <v>-22.334589273861056</v>
      </c>
      <c r="AN313" s="402">
        <f t="shared" si="265"/>
        <v>-29.868596555492601</v>
      </c>
      <c r="AO313" s="402">
        <f t="shared" si="265"/>
        <v>-6.6373405792737685</v>
      </c>
      <c r="AP313" s="402">
        <f>AU292/AP292*100-100</f>
        <v>25.447194326676922</v>
      </c>
      <c r="AQ313" s="402">
        <f t="shared" si="266"/>
        <v>44.124515494215444</v>
      </c>
      <c r="AR313" s="402">
        <f t="shared" si="266"/>
        <v>31.579566744258017</v>
      </c>
      <c r="AS313" s="402">
        <f t="shared" si="266"/>
        <v>6.8862529507716062</v>
      </c>
      <c r="AT313" s="535">
        <f>AY292/AU292*100-100</f>
        <v>-9.8583519712318548</v>
      </c>
      <c r="AU313" s="535">
        <f t="shared" si="267"/>
        <v>-19.060747971769672</v>
      </c>
      <c r="AV313" s="535">
        <f t="shared" si="267"/>
        <v>8.6042555922847299</v>
      </c>
      <c r="AW313" s="535">
        <f t="shared" si="267"/>
        <v>37.509861842467387</v>
      </c>
      <c r="AX313" s="535">
        <f t="shared" si="267"/>
        <v>24.277953458201566</v>
      </c>
      <c r="AY313" s="535">
        <f t="shared" si="267"/>
        <v>23.106134689353937</v>
      </c>
      <c r="AZ313" s="535">
        <f t="shared" si="267"/>
        <v>10.675236406619376</v>
      </c>
      <c r="BA313" s="535">
        <f t="shared" si="267"/>
        <v>12.318038080243369</v>
      </c>
    </row>
    <row r="314" spans="4:53" ht="15.75" thickBot="1" x14ac:dyDescent="0.3">
      <c r="D314" s="69" t="s">
        <v>35</v>
      </c>
      <c r="E314" s="70">
        <v>74792.534156999987</v>
      </c>
      <c r="F314" s="63">
        <v>76313.229187999998</v>
      </c>
      <c r="G314" s="63">
        <v>86462.678076800003</v>
      </c>
      <c r="H314" s="63">
        <v>61419.554027439997</v>
      </c>
      <c r="I314" s="63">
        <v>72550.045089000007</v>
      </c>
      <c r="J314" s="63">
        <v>69329.348186000003</v>
      </c>
      <c r="K314" s="63">
        <v>82608.190712999989</v>
      </c>
      <c r="L314" s="63">
        <v>85227.701240000009</v>
      </c>
      <c r="M314" s="63">
        <v>73054.161999999997</v>
      </c>
      <c r="N314" s="63">
        <v>73064</v>
      </c>
      <c r="O314" s="63">
        <v>76052</v>
      </c>
      <c r="P314" s="63">
        <v>88601</v>
      </c>
      <c r="Q314" s="63">
        <v>95958</v>
      </c>
      <c r="R314" s="63">
        <v>93839</v>
      </c>
      <c r="S314" s="63">
        <v>96768</v>
      </c>
      <c r="T314" s="63">
        <v>94748</v>
      </c>
      <c r="U314" s="64">
        <f>'[15]2019. IV. Állomány adatok'!E59+'[15]2019. IV. Állomány adatok'!F59+'[15]2019. IV. Állomány adatok'!L59</f>
        <v>92072</v>
      </c>
      <c r="V314" s="63">
        <f>'[15]2020. I. Állomány adatok'!E65+'[15]2020. I. Állomány adatok'!F65+'[15]2020. I. Állomány adatok'!L65</f>
        <v>91898</v>
      </c>
      <c r="W314" s="63">
        <f>'[15]2020. II. Állományi adatok'!E65+'[15]2020. II. Állományi adatok'!F65+'[15]2020. II. Állományi adatok'!L65</f>
        <v>97282</v>
      </c>
      <c r="X314" s="64">
        <v>101506</v>
      </c>
      <c r="Y314" s="63">
        <f>'[15]2020. IV. Állományi adatok'!E65+'[15]2020. IV. Állományi adatok'!F65+'[15]2020. IV. Állományi adatok'!L65</f>
        <v>89286</v>
      </c>
      <c r="Z314" s="5">
        <v>87508</v>
      </c>
      <c r="AA314" s="597"/>
      <c r="AB314" s="597"/>
      <c r="AC314" s="597"/>
      <c r="AF314" s="32">
        <f t="shared" ref="AF314:AF315" si="268">Z314/Y314*100-100</f>
        <v>-1.9913536276683885</v>
      </c>
      <c r="AH314" s="598">
        <f t="shared" ref="AH314:AH315" si="269">Z314/V314*100-100</f>
        <v>-4.777035408822826</v>
      </c>
      <c r="AI314" s="27"/>
      <c r="AK314" s="431" t="s">
        <v>437</v>
      </c>
      <c r="AL314" s="503">
        <f t="shared" ref="AL314:AO314" si="270">AP295/AL295*100-100</f>
        <v>-19.672124716738466</v>
      </c>
      <c r="AM314" s="503">
        <f t="shared" si="270"/>
        <v>-22.055082006747753</v>
      </c>
      <c r="AN314" s="503">
        <f t="shared" si="270"/>
        <v>-29.375966547941459</v>
      </c>
      <c r="AO314" s="503">
        <f t="shared" si="270"/>
        <v>-6.1985925360673519</v>
      </c>
      <c r="AP314" s="503">
        <f>AU295/AP295*100-100</f>
        <v>25.574585456893487</v>
      </c>
      <c r="AQ314" s="503">
        <f t="shared" ref="AQ314:AS314" si="271">AV295/AQ295*100-100</f>
        <v>43.999454672520017</v>
      </c>
      <c r="AR314" s="503">
        <f t="shared" si="271"/>
        <v>31.246275612260803</v>
      </c>
      <c r="AS314" s="503">
        <f t="shared" si="271"/>
        <v>6.9748672454281575</v>
      </c>
      <c r="AT314" s="536">
        <f>AY295/AU295*100-100</f>
        <v>-9.0669026856836155</v>
      </c>
      <c r="AU314" s="536">
        <f t="shared" ref="AU314:BA314" si="272">AZ295/AV295*100-100</f>
        <v>-19.047369798482066</v>
      </c>
      <c r="AV314" s="536">
        <f t="shared" si="272"/>
        <v>8.3207646022195121</v>
      </c>
      <c r="AW314" s="536">
        <f t="shared" si="272"/>
        <v>36.445717600986285</v>
      </c>
      <c r="AX314" s="536">
        <f t="shared" si="272"/>
        <v>22.786890477406189</v>
      </c>
      <c r="AY314" s="536">
        <f t="shared" si="272"/>
        <v>22.680395706711494</v>
      </c>
      <c r="AZ314" s="536">
        <f t="shared" si="272"/>
        <v>10.429735592425388</v>
      </c>
      <c r="BA314" s="536">
        <f t="shared" si="272"/>
        <v>12.382736719019903</v>
      </c>
    </row>
    <row r="315" spans="4:53" x14ac:dyDescent="0.25">
      <c r="D315" s="72" t="s">
        <v>66</v>
      </c>
      <c r="E315" s="600">
        <v>94389.682143999991</v>
      </c>
      <c r="F315" s="471">
        <v>97095.397956000001</v>
      </c>
      <c r="G315" s="471">
        <v>111749.2168088</v>
      </c>
      <c r="H315" s="471">
        <v>86393.238572439994</v>
      </c>
      <c r="I315" s="471">
        <v>99440.814976180001</v>
      </c>
      <c r="J315" s="471">
        <v>99566.586715320009</v>
      </c>
      <c r="K315" s="471">
        <v>122843.42086325999</v>
      </c>
      <c r="L315" s="471">
        <v>119440.98086859001</v>
      </c>
      <c r="M315" s="471">
        <v>97182.161999999997</v>
      </c>
      <c r="N315" s="471">
        <v>97194</v>
      </c>
      <c r="O315" s="471">
        <v>103904</v>
      </c>
      <c r="P315" s="471">
        <v>121774</v>
      </c>
      <c r="Q315" s="471">
        <v>134513</v>
      </c>
      <c r="R315" s="471">
        <v>131754</v>
      </c>
      <c r="S315" s="471">
        <v>134174</v>
      </c>
      <c r="T315" s="471">
        <v>139575</v>
      </c>
      <c r="U315" s="472">
        <v>147847</v>
      </c>
      <c r="V315" s="471">
        <v>142868</v>
      </c>
      <c r="W315" s="471">
        <v>165390</v>
      </c>
      <c r="X315" s="471">
        <v>175417</v>
      </c>
      <c r="Y315" s="471">
        <v>158423</v>
      </c>
      <c r="Z315" s="471">
        <v>151648</v>
      </c>
      <c r="AA315" s="601"/>
      <c r="AB315" s="601"/>
      <c r="AC315" s="601"/>
      <c r="AF315" s="607">
        <f t="shared" si="268"/>
        <v>-4.2765255045037662</v>
      </c>
      <c r="AG315" s="603"/>
      <c r="AH315" s="608">
        <f t="shared" si="269"/>
        <v>6.1455329394966043</v>
      </c>
      <c r="AI315" s="605" t="s">
        <v>438</v>
      </c>
    </row>
    <row r="316" spans="4:53" ht="15.75" thickBot="1" x14ac:dyDescent="0.3">
      <c r="AH316" s="267"/>
      <c r="AI316" s="27"/>
    </row>
    <row r="317" spans="4:53" ht="15.75" thickBot="1" x14ac:dyDescent="0.3">
      <c r="D317" s="67" t="s">
        <v>67</v>
      </c>
      <c r="E317" s="171" t="s">
        <v>0</v>
      </c>
      <c r="F317" s="94" t="s">
        <v>1</v>
      </c>
      <c r="G317" s="94" t="s">
        <v>2</v>
      </c>
      <c r="H317" s="94" t="s">
        <v>3</v>
      </c>
      <c r="I317" s="94" t="s">
        <v>4</v>
      </c>
      <c r="J317" s="94" t="s">
        <v>5</v>
      </c>
      <c r="K317" s="94" t="s">
        <v>6</v>
      </c>
      <c r="L317" s="94" t="s">
        <v>7</v>
      </c>
      <c r="M317" s="94" t="s">
        <v>27</v>
      </c>
      <c r="N317" s="94" t="s">
        <v>9</v>
      </c>
      <c r="O317" s="94" t="s">
        <v>10</v>
      </c>
      <c r="P317" s="94" t="s">
        <v>11</v>
      </c>
      <c r="Q317" s="73" t="s">
        <v>12</v>
      </c>
      <c r="R317" s="94" t="s">
        <v>13</v>
      </c>
      <c r="S317" s="94" t="s">
        <v>14</v>
      </c>
      <c r="T317" s="95" t="s">
        <v>15</v>
      </c>
      <c r="U317" s="75" t="s">
        <v>16</v>
      </c>
      <c r="V317" s="94" t="s">
        <v>17</v>
      </c>
      <c r="W317" s="94" t="s">
        <v>18</v>
      </c>
      <c r="X317" s="75" t="s">
        <v>19</v>
      </c>
      <c r="Y317" s="94" t="s">
        <v>20</v>
      </c>
      <c r="Z317" s="95" t="s">
        <v>201</v>
      </c>
      <c r="AA317" s="94" t="s">
        <v>57</v>
      </c>
      <c r="AB317" s="75" t="s">
        <v>58</v>
      </c>
      <c r="AC317" s="172" t="s">
        <v>59</v>
      </c>
      <c r="AF317" s="151" t="s">
        <v>99</v>
      </c>
      <c r="AG317" s="96"/>
      <c r="AH317" s="606" t="s">
        <v>100</v>
      </c>
      <c r="AI317" s="27"/>
    </row>
    <row r="318" spans="4:53" ht="15.75" thickBot="1" x14ac:dyDescent="0.3">
      <c r="D318" s="441" t="s">
        <v>34</v>
      </c>
      <c r="E318" s="70">
        <v>13110.749823259999</v>
      </c>
      <c r="F318" s="63">
        <v>15470.310723999999</v>
      </c>
      <c r="G318" s="63">
        <v>20114.235660999999</v>
      </c>
      <c r="H318" s="63">
        <v>25356.130211</v>
      </c>
      <c r="I318" s="63">
        <v>26541.646787999998</v>
      </c>
      <c r="J318" s="63">
        <v>31292.755927999999</v>
      </c>
      <c r="K318" s="63">
        <v>27254.044543</v>
      </c>
      <c r="L318" s="63">
        <v>29665.92626</v>
      </c>
      <c r="M318" s="63">
        <v>34801</v>
      </c>
      <c r="N318" s="63">
        <v>34801</v>
      </c>
      <c r="O318" s="63">
        <v>42102</v>
      </c>
      <c r="P318" s="63">
        <v>40298</v>
      </c>
      <c r="Q318" s="63">
        <v>41875</v>
      </c>
      <c r="R318" s="63">
        <v>41159</v>
      </c>
      <c r="S318" s="63">
        <v>38871</v>
      </c>
      <c r="T318" s="63">
        <v>29535</v>
      </c>
      <c r="U318" s="64">
        <f>'[15]2019. IV. Állomány adatok'!H17+'[15]2019. IV. Állomány adatok'!M17</f>
        <v>21154</v>
      </c>
      <c r="V318" s="63">
        <f>'[15]2020. I. Állomány adatok'!H18+'[15]2020. I. Állomány adatok'!M18</f>
        <v>21951</v>
      </c>
      <c r="W318" s="63">
        <f>'[15]2020. II. Állományi adatok'!H18+'[15]2020. II. Állományi adatok'!M18</f>
        <v>23884</v>
      </c>
      <c r="X318" s="64">
        <v>24163</v>
      </c>
      <c r="Y318" s="63">
        <f>'[15]2020. IV. Állományi adatok'!H18+'[15]2020. IV. Állományi adatok'!M18</f>
        <v>21896</v>
      </c>
      <c r="Z318" s="5">
        <v>21530</v>
      </c>
      <c r="AA318" s="597"/>
      <c r="AB318" s="597"/>
      <c r="AC318" s="597"/>
      <c r="AF318" s="32">
        <f>Z318/Y318*100-100</f>
        <v>-1.6715381804895912</v>
      </c>
      <c r="AG318" s="32"/>
      <c r="AH318" s="598">
        <f>Z318/V318*100-100</f>
        <v>-1.917908067969563</v>
      </c>
      <c r="AI318" s="27"/>
      <c r="AK318" s="1109" t="s">
        <v>439</v>
      </c>
      <c r="AL318" s="1110"/>
      <c r="AM318" s="1110"/>
      <c r="AN318" s="1110"/>
      <c r="AO318" s="1110"/>
      <c r="AP318" s="1110"/>
      <c r="AQ318" s="1110"/>
      <c r="AR318" s="1110"/>
      <c r="AS318" s="1110"/>
      <c r="AT318" s="1110"/>
      <c r="AU318" s="1110"/>
      <c r="AV318" s="1110"/>
      <c r="AW318" s="1110"/>
      <c r="AX318" s="1110"/>
      <c r="AY318" s="1110"/>
      <c r="AZ318" s="1110"/>
      <c r="BA318" s="1111"/>
    </row>
    <row r="319" spans="4:53" ht="15.75" thickBot="1" x14ac:dyDescent="0.3">
      <c r="D319" s="69" t="s">
        <v>35</v>
      </c>
      <c r="E319" s="70">
        <v>28537.346824</v>
      </c>
      <c r="F319" s="63">
        <v>29672.771107</v>
      </c>
      <c r="G319" s="63">
        <v>31395.093483000001</v>
      </c>
      <c r="H319" s="63">
        <v>33637.978020000002</v>
      </c>
      <c r="I319" s="63">
        <v>31444.975494210001</v>
      </c>
      <c r="J319" s="63">
        <v>33686.822477940004</v>
      </c>
      <c r="K319" s="63">
        <v>26008.288485999998</v>
      </c>
      <c r="L319" s="63">
        <v>22723.32762</v>
      </c>
      <c r="M319" s="63">
        <v>32839</v>
      </c>
      <c r="N319" s="63">
        <v>32839</v>
      </c>
      <c r="O319" s="63">
        <v>34978</v>
      </c>
      <c r="P319" s="63">
        <v>33030</v>
      </c>
      <c r="Q319" s="63">
        <v>33130</v>
      </c>
      <c r="R319" s="63">
        <v>26197</v>
      </c>
      <c r="S319" s="63">
        <v>29171</v>
      </c>
      <c r="T319" s="63">
        <v>28099</v>
      </c>
      <c r="U319" s="64">
        <f>'[15]2019. IV. Állomány adatok'!H59+'[15]2019. IV. Állomány adatok'!M59</f>
        <v>27010</v>
      </c>
      <c r="V319" s="63">
        <f>'[15]2020. I. Állomány adatok'!H97+'[15]2020. I. Állomány adatok'!M97</f>
        <v>76636</v>
      </c>
      <c r="W319" s="63">
        <f>'[15]2020. II. Állományi adatok'!H65+'[15]2020. II. Állományi adatok'!M65</f>
        <v>27257</v>
      </c>
      <c r="X319" s="64">
        <v>30194</v>
      </c>
      <c r="Y319" s="63">
        <f>'[15]2020. IV. Állományi adatok'!H65+'[15]2020. IV. Állományi adatok'!M65</f>
        <v>29020</v>
      </c>
      <c r="Z319" s="5">
        <v>75649</v>
      </c>
      <c r="AA319" s="597"/>
      <c r="AB319" s="597"/>
      <c r="AC319" s="597"/>
      <c r="AF319" s="32">
        <f t="shared" ref="AF319" si="273">Z319/Y319*100-100</f>
        <v>160.67884217780841</v>
      </c>
      <c r="AH319" s="598">
        <f t="shared" ref="AH319:AH320" si="274">Z319/V319*100-100</f>
        <v>-1.2879064669346008</v>
      </c>
      <c r="AI319" s="27"/>
      <c r="AK319" s="416" t="s">
        <v>440</v>
      </c>
      <c r="AL319" s="217" t="s">
        <v>269</v>
      </c>
      <c r="AM319" s="217" t="s">
        <v>270</v>
      </c>
      <c r="AN319" s="217" t="s">
        <v>271</v>
      </c>
      <c r="AO319" s="217" t="s">
        <v>272</v>
      </c>
      <c r="AP319" s="217" t="s">
        <v>273</v>
      </c>
      <c r="AQ319" s="217" t="s">
        <v>274</v>
      </c>
      <c r="AR319" s="217" t="s">
        <v>275</v>
      </c>
      <c r="AS319" s="217" t="s">
        <v>276</v>
      </c>
      <c r="AT319" s="218" t="s">
        <v>277</v>
      </c>
      <c r="AU319" s="218" t="s">
        <v>278</v>
      </c>
      <c r="AV319" s="218" t="s">
        <v>279</v>
      </c>
      <c r="AW319" s="218" t="s">
        <v>280</v>
      </c>
      <c r="AX319" s="218" t="s">
        <v>340</v>
      </c>
      <c r="AY319" s="218" t="s">
        <v>281</v>
      </c>
      <c r="AZ319" s="218" t="s">
        <v>282</v>
      </c>
      <c r="BA319" s="218" t="s">
        <v>283</v>
      </c>
    </row>
    <row r="320" spans="4:53" x14ac:dyDescent="0.25">
      <c r="D320" s="72" t="s">
        <v>68</v>
      </c>
      <c r="E320" s="600">
        <v>41648.096647259998</v>
      </c>
      <c r="F320" s="471">
        <v>45143.081831000003</v>
      </c>
      <c r="G320" s="471">
        <v>51509.329144000003</v>
      </c>
      <c r="H320" s="471">
        <v>58994.108231000006</v>
      </c>
      <c r="I320" s="471">
        <v>57986.622282209995</v>
      </c>
      <c r="J320" s="471">
        <v>64979.578405940003</v>
      </c>
      <c r="K320" s="471">
        <v>53262.333029000001</v>
      </c>
      <c r="L320" s="471">
        <v>52389.253880000004</v>
      </c>
      <c r="M320" s="471">
        <v>67640</v>
      </c>
      <c r="N320" s="471">
        <v>67640</v>
      </c>
      <c r="O320" s="471">
        <v>77080</v>
      </c>
      <c r="P320" s="471">
        <v>73328</v>
      </c>
      <c r="Q320" s="471">
        <v>75005</v>
      </c>
      <c r="R320" s="471">
        <v>67356</v>
      </c>
      <c r="S320" s="471">
        <v>68042</v>
      </c>
      <c r="T320" s="471">
        <v>57634</v>
      </c>
      <c r="U320" s="472">
        <v>48164</v>
      </c>
      <c r="V320" s="471">
        <v>98587</v>
      </c>
      <c r="W320" s="471">
        <v>51141</v>
      </c>
      <c r="X320" s="471">
        <v>54357</v>
      </c>
      <c r="Y320" s="471">
        <v>50916</v>
      </c>
      <c r="Z320" s="471">
        <v>97179</v>
      </c>
      <c r="AA320" s="601"/>
      <c r="AB320" s="601"/>
      <c r="AC320" s="601"/>
      <c r="AF320" s="607">
        <f>Z320/Y320*100-100</f>
        <v>90.861418807447563</v>
      </c>
      <c r="AG320" s="603"/>
      <c r="AH320" s="608">
        <f t="shared" si="274"/>
        <v>-1.4281801860285839</v>
      </c>
      <c r="AI320" s="605" t="s">
        <v>441</v>
      </c>
      <c r="AK320" s="24" t="s">
        <v>342</v>
      </c>
      <c r="AL320" s="245">
        <f>AP274/AO274*100-100</f>
        <v>4.6754633579129319</v>
      </c>
      <c r="AM320" s="245">
        <f>AQ274/AP274*100-100</f>
        <v>17.900581595216124</v>
      </c>
      <c r="AN320" s="245">
        <f>AR274/AQ274*100-100</f>
        <v>-12.90621827713889</v>
      </c>
      <c r="AO320" s="245">
        <f>AS274/AR274*100-100</f>
        <v>8.8496285870328677</v>
      </c>
      <c r="AP320" s="245">
        <f>AU274/AS274*100-100</f>
        <v>17.309669332401285</v>
      </c>
      <c r="AQ320" s="245">
        <f t="shared" ref="AQ320:BA321" si="275">AV274/AU274*100-100</f>
        <v>20.979282204534357</v>
      </c>
      <c r="AR320" s="245">
        <f t="shared" si="275"/>
        <v>-4.2848320744857773</v>
      </c>
      <c r="AS320" s="245">
        <f t="shared" si="275"/>
        <v>3.913345575462813</v>
      </c>
      <c r="AT320" s="245">
        <f t="shared" si="275"/>
        <v>-1.709850746268657</v>
      </c>
      <c r="AU320" s="245">
        <f t="shared" si="275"/>
        <v>-5.5589300031584798</v>
      </c>
      <c r="AV320" s="245">
        <f t="shared" si="275"/>
        <v>-24.017905379331637</v>
      </c>
      <c r="AW320" s="245">
        <f t="shared" si="275"/>
        <v>-28.376502454714753</v>
      </c>
      <c r="AX320" s="245">
        <f t="shared" si="275"/>
        <v>3.7676089628439229</v>
      </c>
      <c r="AY320" s="246">
        <f t="shared" si="275"/>
        <v>8.805976948658369</v>
      </c>
      <c r="AZ320" s="246">
        <f t="shared" si="275"/>
        <v>1.1681460391894234</v>
      </c>
      <c r="BA320" s="246">
        <f t="shared" si="275"/>
        <v>-9.3821131482017961</v>
      </c>
    </row>
    <row r="321" spans="12:61" ht="15.75" thickBot="1" x14ac:dyDescent="0.3">
      <c r="AK321" s="493" t="s">
        <v>343</v>
      </c>
      <c r="AL321" s="365">
        <f t="shared" ref="AL321:AO321" si="276">AP275/AO275*100-100</f>
        <v>-6.5194243378306425</v>
      </c>
      <c r="AM321" s="365">
        <f t="shared" si="276"/>
        <v>7.1294283060986885</v>
      </c>
      <c r="AN321" s="365">
        <f t="shared" si="276"/>
        <v>-22.793880298352079</v>
      </c>
      <c r="AO321" s="365">
        <f t="shared" si="276"/>
        <v>-12.630438437993561</v>
      </c>
      <c r="AP321" s="365">
        <f>AU275/AS275*100-100</f>
        <v>44.516685888455271</v>
      </c>
      <c r="AQ321" s="365">
        <f>AV275/AU275*100-100</f>
        <v>6.5135966381436816</v>
      </c>
      <c r="AR321" s="365">
        <f t="shared" si="275"/>
        <v>-5.5692149351020674</v>
      </c>
      <c r="AS321" s="365">
        <f t="shared" si="275"/>
        <v>0.3027550711474305</v>
      </c>
      <c r="AT321" s="365">
        <f t="shared" si="275"/>
        <v>-20.926652580742527</v>
      </c>
      <c r="AU321" s="365">
        <f>AZ275/AY275*100-100</f>
        <v>11.352444936443092</v>
      </c>
      <c r="AV321" s="365">
        <f t="shared" si="275"/>
        <v>-3.6748825888725065</v>
      </c>
      <c r="AW321" s="365">
        <f t="shared" si="275"/>
        <v>-3.8755827609523408</v>
      </c>
      <c r="AX321" s="365">
        <f t="shared" si="275"/>
        <v>-0.52202887819325383</v>
      </c>
      <c r="AY321" s="538">
        <f t="shared" si="275"/>
        <v>1.4440433212996311</v>
      </c>
      <c r="AZ321" s="538">
        <f t="shared" si="275"/>
        <v>10.775213706570796</v>
      </c>
      <c r="BA321" s="538">
        <f t="shared" si="275"/>
        <v>-3.8881897065642193</v>
      </c>
    </row>
    <row r="322" spans="12:61" ht="15.75" thickBot="1" x14ac:dyDescent="0.3">
      <c r="L322" s="86">
        <f>L308/L323*100</f>
        <v>10.719558972580224</v>
      </c>
      <c r="Z322" s="86">
        <f>Z308/Z323*100</f>
        <v>6.7794130636399776</v>
      </c>
      <c r="AK322" s="431" t="s">
        <v>442</v>
      </c>
      <c r="AL322" s="432">
        <f t="shared" ref="AL322:AO322" si="277">AP278/AO278*100-100</f>
        <v>-1.7077738421692175</v>
      </c>
      <c r="AM322" s="432">
        <f t="shared" si="277"/>
        <v>12.059602453987765</v>
      </c>
      <c r="AN322" s="432">
        <f t="shared" si="277"/>
        <v>-18.032196675300199</v>
      </c>
      <c r="AO322" s="432">
        <f t="shared" si="277"/>
        <v>-1.6392056061919504</v>
      </c>
      <c r="AP322" s="432">
        <f>AU278/AS278*100-100</f>
        <v>29.110447258769</v>
      </c>
      <c r="AQ322" s="432">
        <f>AV278/AU278*100-100</f>
        <v>13.956238911886459</v>
      </c>
      <c r="AR322" s="432">
        <f t="shared" ref="AR322:BA322" si="278">AW278/AV278*100-100</f>
        <v>-4.8676699532952767</v>
      </c>
      <c r="AS322" s="432">
        <f t="shared" si="278"/>
        <v>2.2869845079642062</v>
      </c>
      <c r="AT322" s="432">
        <f t="shared" si="278"/>
        <v>-10.197986800879946</v>
      </c>
      <c r="AU322" s="432">
        <f t="shared" si="278"/>
        <v>1.0184690302274362</v>
      </c>
      <c r="AV322" s="432">
        <f t="shared" si="278"/>
        <v>-15.296434555127718</v>
      </c>
      <c r="AW322" s="432">
        <f t="shared" si="278"/>
        <v>-16.431273206787651</v>
      </c>
      <c r="AX322" s="432">
        <f t="shared" si="278"/>
        <v>1.3620131218337264</v>
      </c>
      <c r="AY322" s="437">
        <f t="shared" si="278"/>
        <v>4.7541990987300267</v>
      </c>
      <c r="AZ322" s="437">
        <f t="shared" si="278"/>
        <v>6.2884965096498036</v>
      </c>
      <c r="BA322" s="437">
        <f t="shared" si="278"/>
        <v>-6.3303714333020622</v>
      </c>
    </row>
    <row r="323" spans="12:61" ht="15.75" thickBot="1" x14ac:dyDescent="0.3">
      <c r="L323" s="1">
        <v>305031.20588858996</v>
      </c>
      <c r="Z323" s="1">
        <v>362288</v>
      </c>
      <c r="AK323" s="157" t="s">
        <v>443</v>
      </c>
      <c r="AL323" s="257" t="s">
        <v>269</v>
      </c>
      <c r="AM323" s="257" t="s">
        <v>270</v>
      </c>
      <c r="AN323" s="257" t="s">
        <v>271</v>
      </c>
      <c r="AO323" s="257" t="s">
        <v>272</v>
      </c>
      <c r="AP323" s="257" t="s">
        <v>273</v>
      </c>
      <c r="AQ323" s="257" t="s">
        <v>274</v>
      </c>
      <c r="AR323" s="257" t="s">
        <v>275</v>
      </c>
      <c r="AS323" s="257" t="s">
        <v>276</v>
      </c>
      <c r="AT323" s="3" t="s">
        <v>277</v>
      </c>
      <c r="AU323" s="3" t="s">
        <v>278</v>
      </c>
      <c r="AV323" s="3" t="s">
        <v>279</v>
      </c>
      <c r="AW323" s="3" t="s">
        <v>280</v>
      </c>
      <c r="AX323" s="3" t="s">
        <v>340</v>
      </c>
      <c r="AY323" s="3" t="s">
        <v>281</v>
      </c>
      <c r="AZ323" s="218" t="s">
        <v>282</v>
      </c>
      <c r="BA323" s="218" t="s">
        <v>283</v>
      </c>
    </row>
    <row r="324" spans="12:61" x14ac:dyDescent="0.25">
      <c r="AB324" s="100"/>
      <c r="AK324" s="24" t="s">
        <v>342</v>
      </c>
      <c r="AL324" s="245">
        <f t="shared" ref="AL324:AO325" si="279">AP291/AO291*100-100</f>
        <v>0.61063620220063797</v>
      </c>
      <c r="AM324" s="245">
        <f t="shared" si="279"/>
        <v>34.153758853904094</v>
      </c>
      <c r="AN324" s="245">
        <f t="shared" si="279"/>
        <v>33.258777796940251</v>
      </c>
      <c r="AO324" s="245">
        <f t="shared" si="279"/>
        <v>-9.8120512698412767</v>
      </c>
      <c r="AP324" s="245">
        <f>AU291/AS291*100-100</f>
        <v>-9.888358240634048</v>
      </c>
      <c r="AQ324" s="245">
        <f>AV291/AU291*100-100</f>
        <v>20.1171875</v>
      </c>
      <c r="AR324" s="245">
        <f t="shared" ref="AR324:BA325" si="280">AW291/AV291*100-100</f>
        <v>8.7804878048780495</v>
      </c>
      <c r="AS324" s="245">
        <f t="shared" si="280"/>
        <v>-2.3916292974588913</v>
      </c>
      <c r="AT324" s="245">
        <f t="shared" si="280"/>
        <v>54.211332312404295</v>
      </c>
      <c r="AU324" s="245">
        <f t="shared" si="280"/>
        <v>-49.553128103277054</v>
      </c>
      <c r="AV324" s="245">
        <f t="shared" si="280"/>
        <v>7.8740157480315105</v>
      </c>
      <c r="AW324" s="245">
        <f t="shared" si="280"/>
        <v>-43.248175182481752</v>
      </c>
      <c r="AX324" s="245">
        <f t="shared" si="280"/>
        <v>1.9292604501607684</v>
      </c>
      <c r="AY324" s="246">
        <f t="shared" si="280"/>
        <v>14.195583596214504</v>
      </c>
      <c r="AZ324" s="246">
        <f t="shared" si="280"/>
        <v>21.270718232044203</v>
      </c>
      <c r="BA324" s="246">
        <f t="shared" si="280"/>
        <v>-9.3394077448747197</v>
      </c>
    </row>
    <row r="325" spans="12:61" ht="15.75" thickBot="1" x14ac:dyDescent="0.3">
      <c r="AK325" s="493" t="s">
        <v>343</v>
      </c>
      <c r="AL325" s="365">
        <f t="shared" si="279"/>
        <v>-0.15485588175498322</v>
      </c>
      <c r="AM325" s="365">
        <f t="shared" si="279"/>
        <v>-3.5487851022793819</v>
      </c>
      <c r="AN325" s="365">
        <f t="shared" si="279"/>
        <v>-9.9538677988338975</v>
      </c>
      <c r="AO325" s="365">
        <f t="shared" si="279"/>
        <v>7.6647410969310101</v>
      </c>
      <c r="AP325" s="365">
        <f>AU292/AS292*100-100</f>
        <v>34.157416621274706</v>
      </c>
      <c r="AQ325" s="365">
        <f>AV292/AU292*100-100</f>
        <v>10.811442938794613</v>
      </c>
      <c r="AR325" s="365">
        <f t="shared" si="280"/>
        <v>-17.791702394301169</v>
      </c>
      <c r="AS325" s="365">
        <f t="shared" si="280"/>
        <v>-12.540517988382177</v>
      </c>
      <c r="AT325" s="365">
        <f t="shared" si="280"/>
        <v>13.140561070032845</v>
      </c>
      <c r="AU325" s="365">
        <f t="shared" si="280"/>
        <v>-0.50109462417903217</v>
      </c>
      <c r="AV325" s="365">
        <f t="shared" si="280"/>
        <v>10.307060434187363</v>
      </c>
      <c r="AW325" s="365">
        <f t="shared" si="280"/>
        <v>10.737293144208039</v>
      </c>
      <c r="AX325" s="365">
        <f t="shared" si="280"/>
        <v>2.2535925387273608</v>
      </c>
      <c r="AY325" s="538">
        <f t="shared" si="280"/>
        <v>-1.4392713607181946</v>
      </c>
      <c r="AZ325" s="538">
        <f t="shared" si="280"/>
        <v>-0.8314246753074741</v>
      </c>
      <c r="BA325" s="538">
        <f t="shared" si="280"/>
        <v>12.381015953541151</v>
      </c>
    </row>
    <row r="326" spans="12:61" ht="15.75" thickBot="1" x14ac:dyDescent="0.3">
      <c r="AK326" s="431" t="s">
        <v>444</v>
      </c>
      <c r="AL326" s="496">
        <f t="shared" ref="AL326:AO326" si="281">AP295/AO295*100-100</f>
        <v>-0.14997793523079395</v>
      </c>
      <c r="AM326" s="496">
        <f t="shared" si="281"/>
        <v>-3.3067029811631983</v>
      </c>
      <c r="AN326" s="496">
        <f t="shared" si="281"/>
        <v>-9.5689133051978246</v>
      </c>
      <c r="AO326" s="496">
        <f t="shared" si="281"/>
        <v>7.435317364747192</v>
      </c>
      <c r="AP326" s="496">
        <f>AU295/AS295*100-100</f>
        <v>33.67203614152865</v>
      </c>
      <c r="AQ326" s="496">
        <f>AV295/AU295*100-100</f>
        <v>10.880573410136236</v>
      </c>
      <c r="AR326" s="496">
        <f t="shared" ref="AR326:BA326" si="282">AW295/AV295*100-100</f>
        <v>-17.577859199162532</v>
      </c>
      <c r="AS326" s="496">
        <f t="shared" si="282"/>
        <v>-12.432724212932825</v>
      </c>
      <c r="AT326" s="496">
        <f t="shared" si="282"/>
        <v>13.626803974182323</v>
      </c>
      <c r="AU326" s="496">
        <f t="shared" si="282"/>
        <v>-1.2892519785550149</v>
      </c>
      <c r="AV326" s="496">
        <f t="shared" si="282"/>
        <v>10.287081339712927</v>
      </c>
      <c r="AW326" s="496">
        <f t="shared" si="282"/>
        <v>10.303687635574832</v>
      </c>
      <c r="AX326" s="496">
        <f t="shared" si="282"/>
        <v>2.2522522522522479</v>
      </c>
      <c r="AY326" s="433">
        <f t="shared" si="282"/>
        <v>-1.3748651774459688</v>
      </c>
      <c r="AZ326" s="433">
        <f t="shared" si="282"/>
        <v>-0.72600303050266746</v>
      </c>
      <c r="BA326" s="433">
        <f t="shared" si="282"/>
        <v>12.254459545551072</v>
      </c>
      <c r="BI326" s="609"/>
    </row>
    <row r="328" spans="12:61" x14ac:dyDescent="0.25">
      <c r="AB328" s="267"/>
    </row>
    <row r="329" spans="12:61" x14ac:dyDescent="0.25">
      <c r="AX329" s="1"/>
      <c r="AY329" s="1"/>
    </row>
    <row r="333" spans="12:61" ht="15.75" thickBot="1" x14ac:dyDescent="0.3"/>
    <row r="334" spans="12:61" ht="19.5" thickBot="1" x14ac:dyDescent="0.35">
      <c r="AK334" s="1112" t="s">
        <v>445</v>
      </c>
      <c r="AL334" s="1113"/>
      <c r="AM334" s="1113"/>
      <c r="AN334" s="1113"/>
      <c r="AO334" s="1113"/>
      <c r="AP334" s="1113"/>
      <c r="AQ334" s="1113"/>
      <c r="AR334" s="1113"/>
      <c r="AS334" s="1113"/>
      <c r="AT334" s="1113"/>
      <c r="AU334" s="1113"/>
      <c r="AV334" s="1113"/>
      <c r="AW334" s="1113"/>
      <c r="AX334" s="1113"/>
      <c r="AY334" s="1113"/>
      <c r="AZ334" s="1113"/>
      <c r="BA334" s="1113"/>
      <c r="BB334" s="1113"/>
      <c r="BC334" s="1113"/>
      <c r="BD334" s="1113"/>
      <c r="BE334" s="1113"/>
      <c r="BF334" s="1114"/>
    </row>
    <row r="335" spans="12:61" ht="15.75" thickBot="1" x14ac:dyDescent="0.3"/>
    <row r="336" spans="12:61" ht="15.75" thickBot="1" x14ac:dyDescent="0.3">
      <c r="AK336" s="67" t="s">
        <v>446</v>
      </c>
      <c r="AL336" s="77" t="s">
        <v>0</v>
      </c>
      <c r="AM336" s="31" t="s">
        <v>1</v>
      </c>
      <c r="AN336" s="31" t="s">
        <v>2</v>
      </c>
      <c r="AO336" s="31" t="s">
        <v>3</v>
      </c>
      <c r="AP336" s="31" t="s">
        <v>4</v>
      </c>
      <c r="AQ336" s="31" t="s">
        <v>5</v>
      </c>
      <c r="AR336" s="31" t="s">
        <v>6</v>
      </c>
      <c r="AS336" s="31" t="s">
        <v>7</v>
      </c>
      <c r="AT336" s="31" t="s">
        <v>27</v>
      </c>
      <c r="AU336" s="31" t="s">
        <v>9</v>
      </c>
      <c r="AV336" s="31" t="s">
        <v>10</v>
      </c>
      <c r="AW336" s="31" t="s">
        <v>11</v>
      </c>
      <c r="AX336" s="31" t="s">
        <v>12</v>
      </c>
      <c r="AY336" s="31" t="s">
        <v>13</v>
      </c>
      <c r="AZ336" s="31" t="s">
        <v>14</v>
      </c>
      <c r="BA336" s="31" t="s">
        <v>15</v>
      </c>
      <c r="BB336" s="31" t="s">
        <v>16</v>
      </c>
      <c r="BC336" s="31" t="s">
        <v>298</v>
      </c>
      <c r="BD336" s="31" t="s">
        <v>299</v>
      </c>
      <c r="BE336" s="31" t="s">
        <v>300</v>
      </c>
      <c r="BF336" s="174" t="s">
        <v>203</v>
      </c>
    </row>
    <row r="337" spans="6:67" x14ac:dyDescent="0.25">
      <c r="AK337" s="279" t="s">
        <v>34</v>
      </c>
      <c r="AL337" s="539">
        <v>14770</v>
      </c>
      <c r="AM337" s="359">
        <v>17132</v>
      </c>
      <c r="AN337" s="359">
        <v>18628</v>
      </c>
      <c r="AO337" s="359">
        <v>20406</v>
      </c>
      <c r="AP337" s="359">
        <v>22168</v>
      </c>
      <c r="AQ337" s="359">
        <v>26220</v>
      </c>
      <c r="AR337" s="359">
        <v>26484</v>
      </c>
      <c r="AS337" s="359">
        <v>21109</v>
      </c>
      <c r="AT337" s="359">
        <v>17648</v>
      </c>
      <c r="AU337" s="359">
        <f>'[15]2018. I. - Állományi_Új'!D14</f>
        <v>17648</v>
      </c>
      <c r="AV337" s="359">
        <f>'[15]2018. II. - Állományi_Új'!D14</f>
        <v>21593</v>
      </c>
      <c r="AW337" s="360">
        <f>'[15]2018. III. - Állományi_Új'!D14</f>
        <v>21569</v>
      </c>
      <c r="AX337" s="359">
        <f>'[15]2018. IV. - Állományi_Új'!D14</f>
        <v>26608</v>
      </c>
      <c r="AY337" s="359">
        <f>'[15]2019. I. Állomány adatok_Korr'!E19</f>
        <v>28767</v>
      </c>
      <c r="AZ337" s="359">
        <f>'[15]2019. II. Állomány adatok'!E17</f>
        <v>30599</v>
      </c>
      <c r="BA337" s="359">
        <f>'[15]2019. III. Állomány adatok'!E17</f>
        <v>32234</v>
      </c>
      <c r="BB337" s="359">
        <f>'[15]2019. IV. Állomány adatok'!E17</f>
        <v>44642</v>
      </c>
      <c r="BC337" s="359">
        <f>'[15]2020. I. Állomány adatok'!E18</f>
        <v>43140</v>
      </c>
      <c r="BD337" s="359">
        <f>'[15]2020. II. Állományi adatok'!E18</f>
        <v>48560</v>
      </c>
      <c r="BE337" s="359">
        <f>'[15]2020. III. Állományi adatok'!E18</f>
        <v>44883</v>
      </c>
      <c r="BF337" s="443">
        <f>'[15]2020. IV. Állományi adatok'!E18</f>
        <v>44152</v>
      </c>
    </row>
    <row r="338" spans="6:67" ht="15.75" thickBot="1" x14ac:dyDescent="0.3">
      <c r="AK338" s="361" t="s">
        <v>35</v>
      </c>
      <c r="AL338" s="540">
        <v>20931</v>
      </c>
      <c r="AM338" s="282">
        <v>24341</v>
      </c>
      <c r="AN338" s="282">
        <v>29053</v>
      </c>
      <c r="AO338" s="282">
        <v>25312</v>
      </c>
      <c r="AP338" s="282">
        <v>33327</v>
      </c>
      <c r="AQ338" s="282">
        <v>35446</v>
      </c>
      <c r="AR338" s="282">
        <v>36017</v>
      </c>
      <c r="AS338" s="282">
        <v>37170</v>
      </c>
      <c r="AT338" s="282">
        <v>32493</v>
      </c>
      <c r="AU338" s="282">
        <f>'[15]2018. I. - Állományi_Új'!D54</f>
        <v>32493</v>
      </c>
      <c r="AV338" s="282">
        <f>'[15]2018. II. - Állományi_Új'!D54</f>
        <v>31416</v>
      </c>
      <c r="AW338" s="283">
        <f>'[15]2018. III. - Állományi_Új'!D54</f>
        <v>36159</v>
      </c>
      <c r="AX338" s="282">
        <f>'[15]2018. IV. - Állományi_Új'!D54</f>
        <v>38232</v>
      </c>
      <c r="AY338" s="282">
        <f>'[15]2019. I. Állomány adatok_Korr'!E61</f>
        <v>39128</v>
      </c>
      <c r="AZ338" s="282">
        <f>'[15]2019. II. Állomány adatok'!E59</f>
        <v>41532</v>
      </c>
      <c r="BA338" s="282">
        <f>'[15]2019. III. Állomány adatok'!E59</f>
        <v>43775</v>
      </c>
      <c r="BB338" s="282">
        <f>'[15]2019. IV. Állomány adatok'!E59</f>
        <v>42747</v>
      </c>
      <c r="BC338" s="282">
        <f>'[15]2020. I. Állomány adatok'!E65</f>
        <v>43289</v>
      </c>
      <c r="BD338" s="282">
        <f>'[15]2020. II. Állományi adatok'!E65</f>
        <v>44148</v>
      </c>
      <c r="BE338" s="282">
        <f>'[15]2020. III. Állományi adatok'!E65</f>
        <v>42787</v>
      </c>
      <c r="BF338" s="445">
        <f>'[15]2020. IV. Állományi adatok'!E65</f>
        <v>38928</v>
      </c>
    </row>
    <row r="339" spans="6:67" x14ac:dyDescent="0.25">
      <c r="AK339" s="510" t="s">
        <v>447</v>
      </c>
      <c r="AL339" s="245">
        <f>AL337/AL341*100</f>
        <v>41.371390157138457</v>
      </c>
      <c r="AM339" s="220">
        <f t="shared" ref="AM339:AX339" si="283">AM337/AM341*100</f>
        <v>41.308803317821237</v>
      </c>
      <c r="AN339" s="220">
        <f t="shared" si="283"/>
        <v>39.067972567689438</v>
      </c>
      <c r="AO339" s="220">
        <f t="shared" si="283"/>
        <v>44.634498447001178</v>
      </c>
      <c r="AP339" s="220">
        <f t="shared" si="283"/>
        <v>39.945941075772588</v>
      </c>
      <c r="AQ339" s="220">
        <f t="shared" si="283"/>
        <v>42.519378587876631</v>
      </c>
      <c r="AR339" s="220">
        <f t="shared" si="283"/>
        <v>42.373722020447673</v>
      </c>
      <c r="AS339" s="220">
        <f t="shared" si="283"/>
        <v>36.220594039019197</v>
      </c>
      <c r="AT339" s="220">
        <f t="shared" si="283"/>
        <v>35.196745178596359</v>
      </c>
      <c r="AU339" s="220">
        <f t="shared" si="283"/>
        <v>35.196745178596359</v>
      </c>
      <c r="AV339" s="220">
        <f t="shared" si="283"/>
        <v>40.734592239053747</v>
      </c>
      <c r="AW339" s="288">
        <f t="shared" si="283"/>
        <v>37.363151330376944</v>
      </c>
      <c r="AX339" s="220">
        <f t="shared" si="283"/>
        <v>41.036397285626158</v>
      </c>
      <c r="AY339" s="220">
        <f>AY337/AY341*100</f>
        <v>42.369835775830325</v>
      </c>
      <c r="AZ339" s="220">
        <f>AZ337/AZ341*100</f>
        <v>42.421427680192977</v>
      </c>
      <c r="BA339" s="220">
        <f>BA337/BA341*100</f>
        <v>42.40813587864595</v>
      </c>
      <c r="BB339" s="220">
        <f>BB337/BB341*100</f>
        <v>51.084232569316498</v>
      </c>
      <c r="BC339" s="220">
        <f t="shared" ref="BC339:BF339" si="284">BC337/BC341*100</f>
        <v>49.913802080320266</v>
      </c>
      <c r="BD339" s="220">
        <f t="shared" si="284"/>
        <v>52.379514173534105</v>
      </c>
      <c r="BE339" s="220">
        <f t="shared" si="284"/>
        <v>51.195391810197336</v>
      </c>
      <c r="BF339" s="221">
        <f t="shared" si="284"/>
        <v>53.143957631198845</v>
      </c>
    </row>
    <row r="340" spans="6:67" ht="15.75" thickBot="1" x14ac:dyDescent="0.3">
      <c r="AK340" s="290" t="s">
        <v>448</v>
      </c>
      <c r="AL340" s="365">
        <f>AL338/AL341*100</f>
        <v>58.628609842861543</v>
      </c>
      <c r="AM340" s="292">
        <f t="shared" ref="AM340:AX340" si="285">AM338/AM341*100</f>
        <v>58.69119668217877</v>
      </c>
      <c r="AN340" s="292">
        <f t="shared" si="285"/>
        <v>60.932027432310562</v>
      </c>
      <c r="AO340" s="292">
        <f t="shared" si="285"/>
        <v>55.365501552998822</v>
      </c>
      <c r="AP340" s="292">
        <f t="shared" si="285"/>
        <v>60.054058924227405</v>
      </c>
      <c r="AQ340" s="292">
        <f t="shared" si="285"/>
        <v>57.480621412123377</v>
      </c>
      <c r="AR340" s="292">
        <f t="shared" si="285"/>
        <v>57.626277979552334</v>
      </c>
      <c r="AS340" s="292">
        <f t="shared" si="285"/>
        <v>63.779405960980796</v>
      </c>
      <c r="AT340" s="292">
        <f t="shared" si="285"/>
        <v>64.803254821403641</v>
      </c>
      <c r="AU340" s="292">
        <f t="shared" si="285"/>
        <v>64.803254821403641</v>
      </c>
      <c r="AV340" s="292">
        <f t="shared" si="285"/>
        <v>59.265407760946253</v>
      </c>
      <c r="AW340" s="293">
        <f t="shared" si="285"/>
        <v>62.636848669623056</v>
      </c>
      <c r="AX340" s="292">
        <f t="shared" si="285"/>
        <v>58.963602714373842</v>
      </c>
      <c r="AY340" s="292">
        <f>AY338/AY341*100</f>
        <v>57.630164224169675</v>
      </c>
      <c r="AZ340" s="292">
        <f>AZ338/AZ341*100</f>
        <v>57.578572319807023</v>
      </c>
      <c r="BA340" s="292">
        <f>BA338/BA341*100</f>
        <v>57.59186412135405</v>
      </c>
      <c r="BB340" s="292">
        <f>BB338/BB341*100</f>
        <v>48.915767430683495</v>
      </c>
      <c r="BC340" s="292">
        <f t="shared" ref="BC340:BF340" si="286">BC338/BC341*100</f>
        <v>50.086197919679741</v>
      </c>
      <c r="BD340" s="292">
        <f t="shared" si="286"/>
        <v>47.620485826465888</v>
      </c>
      <c r="BE340" s="292">
        <f t="shared" si="286"/>
        <v>48.804608189802664</v>
      </c>
      <c r="BF340" s="427">
        <f t="shared" si="286"/>
        <v>46.856042368801155</v>
      </c>
    </row>
    <row r="341" spans="6:67" x14ac:dyDescent="0.25">
      <c r="AK341" s="610" t="s">
        <v>449</v>
      </c>
      <c r="AL341" s="370">
        <f>AL337+AL338</f>
        <v>35701</v>
      </c>
      <c r="AM341" s="371">
        <f t="shared" ref="AM341:AX341" si="287">AM337+AM338</f>
        <v>41473</v>
      </c>
      <c r="AN341" s="371">
        <f t="shared" si="287"/>
        <v>47681</v>
      </c>
      <c r="AO341" s="371">
        <f t="shared" si="287"/>
        <v>45718</v>
      </c>
      <c r="AP341" s="371">
        <f t="shared" si="287"/>
        <v>55495</v>
      </c>
      <c r="AQ341" s="371">
        <f t="shared" si="287"/>
        <v>61666</v>
      </c>
      <c r="AR341" s="371">
        <f t="shared" si="287"/>
        <v>62501</v>
      </c>
      <c r="AS341" s="371">
        <f t="shared" si="287"/>
        <v>58279</v>
      </c>
      <c r="AT341" s="371">
        <f t="shared" si="287"/>
        <v>50141</v>
      </c>
      <c r="AU341" s="371">
        <f t="shared" si="287"/>
        <v>50141</v>
      </c>
      <c r="AV341" s="371">
        <f t="shared" si="287"/>
        <v>53009</v>
      </c>
      <c r="AW341" s="372">
        <f t="shared" si="287"/>
        <v>57728</v>
      </c>
      <c r="AX341" s="371">
        <f t="shared" si="287"/>
        <v>64840</v>
      </c>
      <c r="AY341" s="371">
        <f>AY337+AY338</f>
        <v>67895</v>
      </c>
      <c r="AZ341" s="371">
        <f>AZ337+AZ338</f>
        <v>72131</v>
      </c>
      <c r="BA341" s="371">
        <f>BA337+BA338</f>
        <v>76009</v>
      </c>
      <c r="BB341" s="371">
        <f>BB337+BB338</f>
        <v>87389</v>
      </c>
      <c r="BC341" s="371">
        <f t="shared" ref="BC341:BF341" si="288">BC337+BC338</f>
        <v>86429</v>
      </c>
      <c r="BD341" s="371">
        <f t="shared" si="288"/>
        <v>92708</v>
      </c>
      <c r="BE341" s="371">
        <f t="shared" si="288"/>
        <v>87670</v>
      </c>
      <c r="BF341" s="447">
        <f t="shared" si="288"/>
        <v>83080</v>
      </c>
    </row>
    <row r="342" spans="6:67" x14ac:dyDescent="0.25">
      <c r="AK342" s="448" t="s">
        <v>450</v>
      </c>
      <c r="AL342" s="248">
        <f>AL341/AL343*100</f>
        <v>8.0911349028637733</v>
      </c>
      <c r="AM342" s="223">
        <f t="shared" ref="AM342:BF342" si="289">AM341/AM343*100</f>
        <v>9.0487203543298484</v>
      </c>
      <c r="AN342" s="223">
        <f t="shared" si="289"/>
        <v>9.3717446253149728</v>
      </c>
      <c r="AO342" s="223">
        <f t="shared" si="289"/>
        <v>8.1168220150909889</v>
      </c>
      <c r="AP342" s="223">
        <f t="shared" si="289"/>
        <v>9.1721208515139505</v>
      </c>
      <c r="AQ342" s="223">
        <f t="shared" si="289"/>
        <v>9.9065030201773556</v>
      </c>
      <c r="AR342" s="223">
        <f t="shared" si="289"/>
        <v>9.6942257462107815</v>
      </c>
      <c r="AS342" s="223">
        <f t="shared" si="289"/>
        <v>9.5436241830546997</v>
      </c>
      <c r="AT342" s="223">
        <f t="shared" si="289"/>
        <v>8.6395183745485618</v>
      </c>
      <c r="AU342" s="223">
        <f t="shared" si="289"/>
        <v>8.0987399878214426</v>
      </c>
      <c r="AV342" s="223">
        <f t="shared" si="289"/>
        <v>8.2221718979755174</v>
      </c>
      <c r="AW342" s="223">
        <f t="shared" si="289"/>
        <v>8.6496335053430897</v>
      </c>
      <c r="AX342" s="223">
        <f t="shared" si="289"/>
        <v>10.383537513011449</v>
      </c>
      <c r="AY342" s="223">
        <f t="shared" si="289"/>
        <v>9.9180205737391205</v>
      </c>
      <c r="AZ342" s="223">
        <f t="shared" si="289"/>
        <v>9.9819682181195191</v>
      </c>
      <c r="BA342" s="223">
        <f t="shared" si="289"/>
        <v>10.181817694707556</v>
      </c>
      <c r="BB342" s="223">
        <f t="shared" si="289"/>
        <v>11.98986906896689</v>
      </c>
      <c r="BC342" s="223">
        <f t="shared" si="289"/>
        <v>11.789008220578866</v>
      </c>
      <c r="BD342" s="223">
        <f t="shared" si="289"/>
        <v>11.952621678663382</v>
      </c>
      <c r="BE342" s="223">
        <f t="shared" si="289"/>
        <v>10.789967926706494</v>
      </c>
      <c r="BF342" s="414">
        <f t="shared" si="289"/>
        <v>10.19482822303457</v>
      </c>
    </row>
    <row r="343" spans="6:67" ht="15.75" thickBot="1" x14ac:dyDescent="0.3">
      <c r="AK343" s="610" t="s">
        <v>451</v>
      </c>
      <c r="AL343" s="387">
        <v>441236</v>
      </c>
      <c r="AM343" s="388">
        <v>458330</v>
      </c>
      <c r="AN343" s="388">
        <v>508774</v>
      </c>
      <c r="AO343" s="388">
        <v>563250</v>
      </c>
      <c r="AP343" s="388">
        <v>605040</v>
      </c>
      <c r="AQ343" s="388">
        <v>622480</v>
      </c>
      <c r="AR343" s="388">
        <v>644724</v>
      </c>
      <c r="AS343" s="388">
        <v>610659</v>
      </c>
      <c r="AT343" s="388">
        <v>580368</v>
      </c>
      <c r="AU343" s="388">
        <v>619121</v>
      </c>
      <c r="AV343" s="388">
        <v>644708</v>
      </c>
      <c r="AW343" s="389">
        <v>667404</v>
      </c>
      <c r="AX343" s="388">
        <v>624450</v>
      </c>
      <c r="AY343" s="388">
        <v>684562</v>
      </c>
      <c r="AZ343" s="388">
        <v>722613</v>
      </c>
      <c r="BA343" s="388">
        <v>746517</v>
      </c>
      <c r="BB343" s="388">
        <v>728857</v>
      </c>
      <c r="BC343" s="388">
        <v>733132.07</v>
      </c>
      <c r="BD343" s="388">
        <v>775629</v>
      </c>
      <c r="BE343" s="388">
        <v>812514</v>
      </c>
      <c r="BF343" s="611">
        <v>814923</v>
      </c>
      <c r="BJ343" s="609"/>
      <c r="BO343" s="609"/>
    </row>
    <row r="344" spans="6:67" x14ac:dyDescent="0.25">
      <c r="AK344" s="25" t="s">
        <v>452</v>
      </c>
      <c r="AL344" s="398">
        <v>0</v>
      </c>
      <c r="AM344" s="232">
        <f>AM341/AL341*100-100</f>
        <v>16.167614352539147</v>
      </c>
      <c r="AN344" s="232">
        <f t="shared" ref="AN344:BF344" si="290">AN341/AM341*100-100</f>
        <v>14.968774865575199</v>
      </c>
      <c r="AO344" s="232">
        <f t="shared" si="290"/>
        <v>-4.1169438560432923</v>
      </c>
      <c r="AP344" s="232">
        <f t="shared" si="290"/>
        <v>21.385449932192998</v>
      </c>
      <c r="AQ344" s="232">
        <f t="shared" si="290"/>
        <v>11.119920713577784</v>
      </c>
      <c r="AR344" s="232">
        <f t="shared" si="290"/>
        <v>1.3540686926345273</v>
      </c>
      <c r="AS344" s="232">
        <f t="shared" si="290"/>
        <v>-6.7550919185293026</v>
      </c>
      <c r="AT344" s="232">
        <f t="shared" si="290"/>
        <v>-13.963863484273915</v>
      </c>
      <c r="AU344" s="232">
        <f t="shared" si="290"/>
        <v>0</v>
      </c>
      <c r="AV344" s="232">
        <f t="shared" si="290"/>
        <v>5.7198699666939206</v>
      </c>
      <c r="AW344" s="550">
        <f t="shared" si="290"/>
        <v>8.9022618800580915</v>
      </c>
      <c r="AX344" s="232">
        <f t="shared" si="290"/>
        <v>12.319844789356992</v>
      </c>
      <c r="AY344" s="232">
        <f t="shared" si="290"/>
        <v>4.7115977791486614</v>
      </c>
      <c r="AZ344" s="232">
        <f t="shared" si="290"/>
        <v>6.2390455850946296</v>
      </c>
      <c r="BA344" s="232">
        <f t="shared" si="290"/>
        <v>5.37632917885513</v>
      </c>
      <c r="BB344" s="232">
        <f t="shared" si="290"/>
        <v>14.971911221039619</v>
      </c>
      <c r="BC344" s="232">
        <f t="shared" si="290"/>
        <v>-1.0985364290700232</v>
      </c>
      <c r="BD344" s="232">
        <f t="shared" si="290"/>
        <v>7.264922653276102</v>
      </c>
      <c r="BE344" s="232">
        <f t="shared" si="290"/>
        <v>-5.4342667299477938</v>
      </c>
      <c r="BF344" s="205">
        <f t="shared" si="290"/>
        <v>-5.2355423748146563</v>
      </c>
      <c r="BJ344" s="609"/>
      <c r="BO344" s="609"/>
    </row>
    <row r="345" spans="6:67" x14ac:dyDescent="0.25">
      <c r="AK345" s="15" t="s">
        <v>312</v>
      </c>
      <c r="AL345" s="13">
        <f>AL337/AL343*100</f>
        <v>3.3474149888041773</v>
      </c>
      <c r="AM345" s="458">
        <f t="shared" ref="AM345:BF345" si="291">AM337/AM343*100</f>
        <v>3.7379180939497743</v>
      </c>
      <c r="AN345" s="458">
        <f t="shared" si="291"/>
        <v>3.6613506193319627</v>
      </c>
      <c r="AO345" s="458">
        <f t="shared" si="291"/>
        <v>3.6229027962716378</v>
      </c>
      <c r="AP345" s="458">
        <f t="shared" si="291"/>
        <v>3.6638899907444138</v>
      </c>
      <c r="AQ345" s="458">
        <f t="shared" si="291"/>
        <v>4.2121835239686414</v>
      </c>
      <c r="AR345" s="458">
        <f t="shared" si="291"/>
        <v>4.107804269734026</v>
      </c>
      <c r="AS345" s="458">
        <f t="shared" si="291"/>
        <v>3.4567573719539055</v>
      </c>
      <c r="AT345" s="458">
        <f t="shared" si="291"/>
        <v>3.0408292669478678</v>
      </c>
      <c r="AU345" s="458">
        <f t="shared" si="291"/>
        <v>2.8504928761905992</v>
      </c>
      <c r="AV345" s="458">
        <f t="shared" si="291"/>
        <v>3.3492681958343935</v>
      </c>
      <c r="AW345" s="459">
        <f t="shared" si="291"/>
        <v>3.2317756561243263</v>
      </c>
      <c r="AX345" s="14">
        <f t="shared" si="291"/>
        <v>4.2610297061414046</v>
      </c>
      <c r="AY345" s="14">
        <f t="shared" si="291"/>
        <v>4.2022490293063299</v>
      </c>
      <c r="AZ345" s="14">
        <f t="shared" si="291"/>
        <v>4.2344934287094196</v>
      </c>
      <c r="BA345" s="14">
        <f t="shared" si="291"/>
        <v>4.3179190828875971</v>
      </c>
      <c r="BB345" s="14">
        <f t="shared" si="291"/>
        <v>6.1249325999475888</v>
      </c>
      <c r="BC345" s="14">
        <f t="shared" si="291"/>
        <v>5.8843422304524209</v>
      </c>
      <c r="BD345" s="14">
        <f t="shared" si="291"/>
        <v>6.2607251662843959</v>
      </c>
      <c r="BE345" s="14">
        <f t="shared" si="291"/>
        <v>5.5239663562720152</v>
      </c>
      <c r="BF345" s="211">
        <f t="shared" si="291"/>
        <v>5.4179351914229938</v>
      </c>
      <c r="BJ345" s="609"/>
      <c r="BO345" s="609"/>
    </row>
    <row r="346" spans="6:67" ht="15.75" thickBot="1" x14ac:dyDescent="0.3">
      <c r="AK346" s="15" t="s">
        <v>313</v>
      </c>
      <c r="AL346" s="402">
        <f>AL338/AL343*100</f>
        <v>4.7437199140595965</v>
      </c>
      <c r="AM346" s="501">
        <f t="shared" ref="AM346:BF346" si="292">AM338/AM343*100</f>
        <v>5.3108022603800755</v>
      </c>
      <c r="AN346" s="501">
        <f t="shared" si="292"/>
        <v>5.7103940059830096</v>
      </c>
      <c r="AO346" s="501">
        <f t="shared" si="292"/>
        <v>4.493919218819352</v>
      </c>
      <c r="AP346" s="501">
        <f t="shared" si="292"/>
        <v>5.5082308607695358</v>
      </c>
      <c r="AQ346" s="501">
        <f t="shared" si="292"/>
        <v>5.6943194962087134</v>
      </c>
      <c r="AR346" s="501">
        <f t="shared" si="292"/>
        <v>5.5864214764767555</v>
      </c>
      <c r="AS346" s="501">
        <f t="shared" si="292"/>
        <v>6.0868668111007951</v>
      </c>
      <c r="AT346" s="501">
        <f t="shared" si="292"/>
        <v>5.5986891076006948</v>
      </c>
      <c r="AU346" s="501">
        <f t="shared" si="292"/>
        <v>5.2482471116308442</v>
      </c>
      <c r="AV346" s="501">
        <f t="shared" si="292"/>
        <v>4.8729037021411248</v>
      </c>
      <c r="AW346" s="612">
        <f t="shared" si="292"/>
        <v>5.4178578492187643</v>
      </c>
      <c r="AX346" s="403">
        <f t="shared" si="292"/>
        <v>6.122507806870046</v>
      </c>
      <c r="AY346" s="403">
        <f t="shared" si="292"/>
        <v>5.7157715444327906</v>
      </c>
      <c r="AZ346" s="403">
        <f t="shared" si="292"/>
        <v>5.7474747894100995</v>
      </c>
      <c r="BA346" s="403">
        <f t="shared" si="292"/>
        <v>5.863898611819959</v>
      </c>
      <c r="BB346" s="403">
        <f t="shared" si="292"/>
        <v>5.8649364690193</v>
      </c>
      <c r="BC346" s="403">
        <f t="shared" si="292"/>
        <v>5.9046659901264453</v>
      </c>
      <c r="BD346" s="403">
        <f t="shared" si="292"/>
        <v>5.6918965123789853</v>
      </c>
      <c r="BE346" s="403">
        <f t="shared" si="292"/>
        <v>5.2660015704344785</v>
      </c>
      <c r="BF346" s="214">
        <f t="shared" si="292"/>
        <v>4.776893031611575</v>
      </c>
      <c r="BJ346" s="609"/>
      <c r="BO346" s="609"/>
    </row>
    <row r="347" spans="6:67" ht="15.75" thickBot="1" x14ac:dyDescent="0.3">
      <c r="AK347" s="12" t="s">
        <v>26</v>
      </c>
      <c r="AL347" s="464">
        <v>825056</v>
      </c>
      <c r="AM347" s="465">
        <v>848204</v>
      </c>
      <c r="AN347" s="465">
        <v>924696</v>
      </c>
      <c r="AO347" s="465">
        <v>985514</v>
      </c>
      <c r="AP347" s="465">
        <v>997791</v>
      </c>
      <c r="AQ347" s="465">
        <v>1005984</v>
      </c>
      <c r="AR347" s="465">
        <v>1073238</v>
      </c>
      <c r="AS347" s="465">
        <v>1070624</v>
      </c>
      <c r="AT347" s="465">
        <v>1030760</v>
      </c>
      <c r="AU347" s="465">
        <v>1072544</v>
      </c>
      <c r="AV347" s="465">
        <v>1109892</v>
      </c>
      <c r="AW347" s="465">
        <v>1163376</v>
      </c>
      <c r="AX347" s="465">
        <v>1129593</v>
      </c>
      <c r="AY347" s="465">
        <v>1205011</v>
      </c>
      <c r="AZ347" s="465">
        <v>1233423</v>
      </c>
      <c r="BA347" s="465">
        <v>1292983</v>
      </c>
      <c r="BB347" s="465">
        <v>1269580</v>
      </c>
      <c r="BC347" s="465">
        <v>1292276.71</v>
      </c>
      <c r="BD347" s="465">
        <v>1306049</v>
      </c>
      <c r="BE347" s="465">
        <v>1405757</v>
      </c>
      <c r="BF347" s="467">
        <v>1431391</v>
      </c>
      <c r="BJ347" s="609"/>
      <c r="BO347" s="609"/>
    </row>
    <row r="348" spans="6:67" ht="15.75" thickBot="1" x14ac:dyDescent="0.3">
      <c r="AK348" s="8" t="s">
        <v>453</v>
      </c>
      <c r="AL348" s="613">
        <f>AL341/AL347*100</f>
        <v>4.3271002210759022</v>
      </c>
      <c r="AM348" s="484">
        <f t="shared" ref="AM348:AX348" si="293">AM341/AM347*100</f>
        <v>4.8895077127672115</v>
      </c>
      <c r="AN348" s="484">
        <f t="shared" si="293"/>
        <v>5.1563973457222696</v>
      </c>
      <c r="AO348" s="484">
        <f t="shared" si="293"/>
        <v>4.639000562143206</v>
      </c>
      <c r="AP348" s="484">
        <f t="shared" si="293"/>
        <v>5.5617859852413982</v>
      </c>
      <c r="AQ348" s="484">
        <f t="shared" si="293"/>
        <v>6.1299185672933163</v>
      </c>
      <c r="AR348" s="484">
        <f t="shared" si="293"/>
        <v>5.823591784860394</v>
      </c>
      <c r="AS348" s="484">
        <f t="shared" si="293"/>
        <v>5.4434610096541833</v>
      </c>
      <c r="AT348" s="484">
        <f t="shared" si="293"/>
        <v>4.864468935542706</v>
      </c>
      <c r="AU348" s="484">
        <f t="shared" si="293"/>
        <v>4.6749597219321535</v>
      </c>
      <c r="AV348" s="484">
        <f t="shared" si="293"/>
        <v>4.7760502823698161</v>
      </c>
      <c r="AW348" s="484">
        <f t="shared" si="293"/>
        <v>4.9621102721733985</v>
      </c>
      <c r="AX348" s="484">
        <f t="shared" si="293"/>
        <v>5.740120556696084</v>
      </c>
      <c r="AY348" s="484">
        <f>AY341/AY347*100</f>
        <v>5.6343883997739441</v>
      </c>
      <c r="AZ348" s="484">
        <f>AZ341/AZ347*100</f>
        <v>5.8480342915609649</v>
      </c>
      <c r="BA348" s="484">
        <f>BA341/BA347*100</f>
        <v>5.878576903176608</v>
      </c>
      <c r="BB348" s="484">
        <f>BB341/BB347*100</f>
        <v>6.8832999889727313</v>
      </c>
      <c r="BC348" s="484">
        <f>BC341/BC347*100</f>
        <v>6.6881186769975915</v>
      </c>
      <c r="BD348" s="484">
        <f t="shared" ref="BD348:BF348" si="294">BD341/BD347*100</f>
        <v>7.0983554215806599</v>
      </c>
      <c r="BE348" s="484">
        <f t="shared" si="294"/>
        <v>6.2364974885417608</v>
      </c>
      <c r="BF348" s="614">
        <f t="shared" si="294"/>
        <v>5.8041443602761227</v>
      </c>
      <c r="BJ348" s="609"/>
      <c r="BO348" s="609"/>
    </row>
    <row r="349" spans="6:67" x14ac:dyDescent="0.25">
      <c r="BJ349" s="609"/>
      <c r="BO349" s="609"/>
    </row>
    <row r="350" spans="6:67" ht="15.75" thickBot="1" x14ac:dyDescent="0.3">
      <c r="AX350" s="1"/>
      <c r="AY350" s="1"/>
    </row>
    <row r="351" spans="6:67" ht="19.5" thickBot="1" x14ac:dyDescent="0.35">
      <c r="AK351" s="1112" t="s">
        <v>454</v>
      </c>
      <c r="AL351" s="1113"/>
      <c r="AM351" s="1113"/>
      <c r="AN351" s="1113"/>
      <c r="AO351" s="1113"/>
      <c r="AP351" s="1113"/>
      <c r="AQ351" s="1113"/>
      <c r="AR351" s="1113"/>
      <c r="AS351" s="1113"/>
      <c r="AT351" s="1113"/>
      <c r="AU351" s="1113"/>
      <c r="AV351" s="1113"/>
      <c r="AW351" s="1113"/>
      <c r="AX351" s="1113"/>
      <c r="AY351" s="1113"/>
      <c r="AZ351" s="1113"/>
      <c r="BA351" s="1113"/>
      <c r="BB351" s="1113"/>
      <c r="BC351" s="1113"/>
      <c r="BD351" s="1113"/>
      <c r="BE351" s="1113"/>
      <c r="BF351" s="1114"/>
    </row>
    <row r="352" spans="6:67" ht="15.75" thickBot="1" x14ac:dyDescent="0.3">
      <c r="F352" s="77" t="s">
        <v>0</v>
      </c>
      <c r="G352" s="31" t="s">
        <v>1</v>
      </c>
      <c r="H352" s="31" t="s">
        <v>2</v>
      </c>
      <c r="I352" s="31" t="s">
        <v>3</v>
      </c>
      <c r="J352" s="31" t="s">
        <v>4</v>
      </c>
      <c r="K352" s="31" t="s">
        <v>5</v>
      </c>
      <c r="L352" s="31" t="s">
        <v>6</v>
      </c>
      <c r="M352" s="31" t="s">
        <v>7</v>
      </c>
      <c r="N352" s="31" t="s">
        <v>27</v>
      </c>
      <c r="O352" s="31" t="s">
        <v>9</v>
      </c>
      <c r="P352" s="31" t="s">
        <v>10</v>
      </c>
      <c r="Q352" s="79" t="s">
        <v>11</v>
      </c>
      <c r="R352" s="94" t="s">
        <v>12</v>
      </c>
      <c r="S352" s="49" t="s">
        <v>13</v>
      </c>
      <c r="T352" s="35" t="s">
        <v>14</v>
      </c>
      <c r="U352" s="35" t="s">
        <v>15</v>
      </c>
      <c r="V352" s="35" t="s">
        <v>16</v>
      </c>
      <c r="W352" s="35" t="s">
        <v>17</v>
      </c>
      <c r="X352" s="35" t="s">
        <v>18</v>
      </c>
      <c r="Y352" s="35" t="s">
        <v>19</v>
      </c>
      <c r="Z352" s="35" t="s">
        <v>20</v>
      </c>
      <c r="AA352" s="35" t="s">
        <v>201</v>
      </c>
      <c r="AB352" s="35" t="s">
        <v>57</v>
      </c>
      <c r="AC352" s="36" t="s">
        <v>58</v>
      </c>
      <c r="AD352" s="369" t="s">
        <v>59</v>
      </c>
      <c r="AH352" s="96" t="s">
        <v>99</v>
      </c>
      <c r="AI352" s="96" t="s">
        <v>101</v>
      </c>
    </row>
    <row r="353" spans="5:58" ht="15.75" thickBot="1" x14ac:dyDescent="0.3">
      <c r="E353" s="20" t="s">
        <v>74</v>
      </c>
      <c r="F353" s="358">
        <v>107572</v>
      </c>
      <c r="G353" s="359">
        <v>118368</v>
      </c>
      <c r="H353" s="359">
        <v>122591</v>
      </c>
      <c r="I353" s="359">
        <v>135021</v>
      </c>
      <c r="J353" s="359">
        <v>136417</v>
      </c>
      <c r="K353" s="359">
        <v>143792</v>
      </c>
      <c r="L353" s="359">
        <v>160194</v>
      </c>
      <c r="M353" s="359">
        <v>171755</v>
      </c>
      <c r="N353" s="359">
        <v>158617</v>
      </c>
      <c r="O353" s="359">
        <v>161648</v>
      </c>
      <c r="P353" s="359">
        <v>172740</v>
      </c>
      <c r="Q353" s="359">
        <v>186710</v>
      </c>
      <c r="R353" s="359">
        <v>181505</v>
      </c>
      <c r="S353" s="359">
        <v>203140</v>
      </c>
      <c r="T353" s="80">
        <v>206958</v>
      </c>
      <c r="U353" s="80">
        <v>211417</v>
      </c>
      <c r="V353" s="81">
        <f>'[15]2019. IV. Állomány adatok'!B32+'[15]2019. IV. Állomány adatok'!J32+'[15]2019. IV. Állomány adatok'!B74+'[15]2019. IV. Állomány adatok'!J74</f>
        <v>187758</v>
      </c>
      <c r="W353" s="81">
        <f>'[15]2020. I. Állomány adatok'!B34+'[15]2020. I. Állomány adatok'!J34+'[15]2020. I. Állomány adatok'!B81+'[15]2020. I. Állomány adatok'!J81</f>
        <v>191274</v>
      </c>
      <c r="X353" s="80">
        <f>'[15]2020. II. Állományi adatok'!B34+'[15]2020. II. Állományi adatok'!J34+'[15]2020. II. Állományi adatok'!B81+'[15]2020. II. Állományi adatok'!J81</f>
        <v>189017</v>
      </c>
      <c r="Y353" s="80">
        <v>198874</v>
      </c>
      <c r="Z353" s="80">
        <f>'[15]2020. IV. Állományi adatok'!B34+'[15]2020. IV. Állományi adatok'!J34+'[15]2020. IV. Állományi adatok'!B81+'[15]2020. IV. Állományi adatok'!J81</f>
        <v>203193</v>
      </c>
      <c r="AA353" s="80">
        <f>'[15]2021. I. Állományi adatok'!B34+'[15]2021. I. Állományi adatok'!J34+'[15]2021. I. Állományi adatok'!B81+'[15]2021. I. Állományi adatok'!J81</f>
        <v>193567</v>
      </c>
      <c r="AB353" s="615"/>
      <c r="AC353" s="615"/>
      <c r="AD353" s="615"/>
      <c r="AE353" s="616"/>
      <c r="AF353" s="27">
        <f>Z353/F353*100-100</f>
        <v>88.890231658795983</v>
      </c>
      <c r="AG353" t="s">
        <v>455</v>
      </c>
      <c r="AH353" s="27">
        <f>AA353/Z353*100-100</f>
        <v>-4.7373679211390112</v>
      </c>
      <c r="AI353" s="617">
        <f>AA353/W353*100-100</f>
        <v>1.1988038102408041</v>
      </c>
      <c r="AK353" s="525" t="s">
        <v>456</v>
      </c>
      <c r="AL353" s="77" t="s">
        <v>0</v>
      </c>
      <c r="AM353" s="31" t="s">
        <v>1</v>
      </c>
      <c r="AN353" s="31" t="s">
        <v>2</v>
      </c>
      <c r="AO353" s="31" t="s">
        <v>3</v>
      </c>
      <c r="AP353" s="31" t="s">
        <v>4</v>
      </c>
      <c r="AQ353" s="31" t="s">
        <v>5</v>
      </c>
      <c r="AR353" s="31" t="s">
        <v>6</v>
      </c>
      <c r="AS353" s="31" t="s">
        <v>7</v>
      </c>
      <c r="AT353" s="31" t="s">
        <v>27</v>
      </c>
      <c r="AU353" s="31" t="s">
        <v>9</v>
      </c>
      <c r="AV353" s="31" t="s">
        <v>10</v>
      </c>
      <c r="AW353" s="31" t="s">
        <v>11</v>
      </c>
      <c r="AX353" s="31" t="s">
        <v>12</v>
      </c>
      <c r="AY353" s="31" t="s">
        <v>13</v>
      </c>
      <c r="AZ353" s="31" t="s">
        <v>14</v>
      </c>
      <c r="BA353" s="31" t="s">
        <v>15</v>
      </c>
      <c r="BB353" s="31" t="s">
        <v>16</v>
      </c>
      <c r="BC353" s="31" t="s">
        <v>298</v>
      </c>
      <c r="BD353" s="31" t="s">
        <v>299</v>
      </c>
      <c r="BE353" s="526" t="s">
        <v>300</v>
      </c>
      <c r="BF353" s="174" t="s">
        <v>203</v>
      </c>
    </row>
    <row r="354" spans="5:58" x14ac:dyDescent="0.25">
      <c r="E354" s="20" t="s">
        <v>75</v>
      </c>
      <c r="F354" s="70">
        <v>78315</v>
      </c>
      <c r="G354" s="63">
        <v>80625</v>
      </c>
      <c r="H354" s="63">
        <v>79565</v>
      </c>
      <c r="I354" s="63">
        <v>83696</v>
      </c>
      <c r="J354" s="63">
        <v>80838</v>
      </c>
      <c r="K354" s="63">
        <v>76409</v>
      </c>
      <c r="L354" s="63">
        <v>75669</v>
      </c>
      <c r="M354" s="63">
        <v>72860</v>
      </c>
      <c r="N354" s="63">
        <v>75357</v>
      </c>
      <c r="O354" s="63">
        <v>75357</v>
      </c>
      <c r="P354" s="63">
        <v>91286</v>
      </c>
      <c r="Q354" s="63">
        <v>91955</v>
      </c>
      <c r="R354" s="63">
        <v>91882</v>
      </c>
      <c r="S354" s="63">
        <v>90536</v>
      </c>
      <c r="T354" s="63">
        <v>89666</v>
      </c>
      <c r="U354" s="63">
        <v>100714</v>
      </c>
      <c r="V354" s="64">
        <f>'[15]2019. IV. Állomány adatok'!C32+'[15]2019. IV. Állomány adatok'!K32+'[15]2019. IV. Állomány adatok'!C74+'[15]2019. IV. Állomány adatok'!K74</f>
        <v>110818</v>
      </c>
      <c r="W354" s="64">
        <f>'[15]2020. I. Állomány adatok'!C34+'[15]2020. I. Állomány adatok'!K34+'[15]2020. I. Állomány adatok'!B81+'[15]2020. I. Állomány adatok'!K81</f>
        <v>122977</v>
      </c>
      <c r="X354" s="63">
        <f>'[15]2020. II. Állományi adatok'!C34+'[15]2020. II. Állományi adatok'!K34+'[15]2020. II. Állományi adatok'!C81+'[15]2020. II. Állományi adatok'!K81</f>
        <v>117363</v>
      </c>
      <c r="Y354" s="63">
        <v>159984</v>
      </c>
      <c r="Z354" s="63">
        <f>'[15]2020. IV. Állományi adatok'!C34+'[15]2020. IV. Állományi adatok'!K34+'[15]2020. IV. Állományi adatok'!C81+'[15]2020. IV. Állományi adatok'!K81</f>
        <v>175128</v>
      </c>
      <c r="AA354" s="63">
        <f>'[15]2021. I. Állományi adatok'!C34+'[15]2021. I. Állományi adatok'!K34+'[15]2021. I. Állományi adatok'!C81+'[15]2021. I. Állományi adatok'!K81</f>
        <v>178358</v>
      </c>
      <c r="AB354" s="597"/>
      <c r="AC354" s="597"/>
      <c r="AD354" s="597"/>
      <c r="AE354" s="616"/>
      <c r="AF354" s="27">
        <f>Z354/F354*100-100</f>
        <v>123.61999616931621</v>
      </c>
      <c r="AG354" t="s">
        <v>457</v>
      </c>
      <c r="AH354" s="27">
        <f t="shared" ref="AH354:AH356" si="295">AA354/Z354*100-100</f>
        <v>1.8443652642638568</v>
      </c>
      <c r="AI354" s="617">
        <f t="shared" ref="AI354:AI356" si="296">AA354/W354*100-100</f>
        <v>45.033624173625952</v>
      </c>
      <c r="AK354" s="279" t="s">
        <v>34</v>
      </c>
      <c r="AL354" s="539">
        <v>614</v>
      </c>
      <c r="AM354" s="359">
        <v>691</v>
      </c>
      <c r="AN354" s="359">
        <v>714</v>
      </c>
      <c r="AO354" s="359">
        <v>930</v>
      </c>
      <c r="AP354" s="359">
        <v>836</v>
      </c>
      <c r="AQ354" s="359">
        <v>822</v>
      </c>
      <c r="AR354" s="359">
        <v>950</v>
      </c>
      <c r="AS354" s="359">
        <v>1069</v>
      </c>
      <c r="AT354" s="359">
        <v>848</v>
      </c>
      <c r="AU354" s="359">
        <f>'[15]2018. I. - Állományi_Új'!D29</f>
        <v>848</v>
      </c>
      <c r="AV354" s="359">
        <f>'[15]2018. II. - Állományi_Új'!D29</f>
        <v>792</v>
      </c>
      <c r="AW354" s="360">
        <f>'[15]2018. III. - Állományi_Új'!D29</f>
        <v>743</v>
      </c>
      <c r="AX354" s="359">
        <f>'[15]2018. IV. - Állományi_Új'!D29</f>
        <v>1020</v>
      </c>
      <c r="AY354" s="359">
        <f>'[15]2019. I. Állomány adatok_Korr'!E34</f>
        <v>942</v>
      </c>
      <c r="AZ354" s="359">
        <f>'[15]2019. II. Állomány adatok'!E32</f>
        <v>1071</v>
      </c>
      <c r="BA354" s="359">
        <f>'[15]2019. III. Állomány adatok'!E32</f>
        <v>1010</v>
      </c>
      <c r="BB354" s="359">
        <f>'[15]2019. IV. Állomány adatok'!E32</f>
        <v>1385</v>
      </c>
      <c r="BC354" s="359">
        <f>'[15]2020. I. Állomány adatok'!E34</f>
        <v>1199</v>
      </c>
      <c r="BD354" s="359">
        <f>'[15]2020. II. Állományi adatok'!E34</f>
        <v>1184</v>
      </c>
      <c r="BE354" s="539">
        <f>'[15]2020. III. Állományi adatok'!E34</f>
        <v>1312</v>
      </c>
      <c r="BF354" s="443">
        <f>'[15]2020. IV. Állományi adatok'!E34</f>
        <v>1522</v>
      </c>
    </row>
    <row r="355" spans="5:58" ht="15.75" thickBot="1" x14ac:dyDescent="0.3">
      <c r="E355" s="20" t="s">
        <v>76</v>
      </c>
      <c r="F355" s="70">
        <v>129608.12856369</v>
      </c>
      <c r="G355" s="63">
        <v>122796.130193</v>
      </c>
      <c r="H355" s="63">
        <v>145811.77002600001</v>
      </c>
      <c r="I355" s="63">
        <v>148581.69625214199</v>
      </c>
      <c r="J355" s="63">
        <v>120610.24163372999</v>
      </c>
      <c r="K355" s="63">
        <v>110234.38432738421</v>
      </c>
      <c r="L355" s="63">
        <v>144658.40804518489</v>
      </c>
      <c r="M355" s="63">
        <v>163790.01399039</v>
      </c>
      <c r="N355" s="63">
        <v>147496.41200000001</v>
      </c>
      <c r="O355" s="63">
        <v>147496</v>
      </c>
      <c r="P355" s="63">
        <v>124739</v>
      </c>
      <c r="Q355" s="63">
        <v>154319</v>
      </c>
      <c r="R355" s="63">
        <v>176599</v>
      </c>
      <c r="S355" s="63">
        <v>164102</v>
      </c>
      <c r="T355" s="63">
        <v>152320</v>
      </c>
      <c r="U355" s="63">
        <v>166105</v>
      </c>
      <c r="V355" s="64">
        <f>'[15]2019. IV. Állomány adatok'!E32+'[15]2019. IV. Állomány adatok'!F32+'[15]2019. IV. Állomány adatok'!L32+'[15]2019. IV. Állomány adatok'!E74+'[15]2019. IV. Állomány adatok'!F74+'[15]2019. IV. Állomány adatok'!L74</f>
        <v>171053</v>
      </c>
      <c r="W355" s="64">
        <f>'[15]2020. I. Állomány adatok'!E34+'[15]2020. I. Állomány adatok'!F34+'[15]2020. I. Állomány adatok'!L34+'[15]2020. I. Állomány adatok'!E81+'[15]2020. I. Állomány adatok'!F81+'[15]2020. I. Állomány adatok'!L81</f>
        <v>174049</v>
      </c>
      <c r="X355" s="63">
        <f>'[15]2020. II. Állományi adatok'!E34+'[15]2020. II. Állományi adatok'!F34+'[15]2020. II. Állományi adatok'!L34+'[15]2020. II. Állományi adatok'!E81+'[15]2020. II. Állományi adatok'!F81+'[15]2020. II. Állományi adatok'!L81</f>
        <v>148143</v>
      </c>
      <c r="Y355" s="63">
        <v>159040</v>
      </c>
      <c r="Z355" s="63">
        <f>'[15]2020. IV. Állományi adatok'!E34+'[15]2020. IV. Állományi adatok'!F34+'[15]2020. IV. Állományi adatok'!L34+'[15]2020. IV. Állományi adatok'!E81+'[15]2020. IV. Állományi adatok'!F81+'[15]2020. IV. Állományi adatok'!L81</f>
        <v>153572</v>
      </c>
      <c r="AA355" s="471">
        <f>'[15]2021. I. Állományi adatok'!E34+'[15]2021. I. Állományi adatok'!F34+'[15]2021. I. Állományi adatok'!L34+'[15]2021. I. Állományi adatok'!E81+'[15]2021. I. Állományi adatok'!F81+'[15]2021. I. Állományi adatok'!L81</f>
        <v>152637</v>
      </c>
      <c r="AB355" s="601"/>
      <c r="AC355" s="601"/>
      <c r="AD355" s="601"/>
      <c r="AE355" s="616"/>
      <c r="AF355" s="27">
        <f>Z355/F355*100-100</f>
        <v>18.489481872685204</v>
      </c>
      <c r="AG355" t="s">
        <v>458</v>
      </c>
      <c r="AH355" s="27">
        <f t="shared" si="295"/>
        <v>-0.60883494386997938</v>
      </c>
      <c r="AI355" s="617">
        <f t="shared" si="296"/>
        <v>-12.302282690506701</v>
      </c>
      <c r="AK355" s="361" t="s">
        <v>35</v>
      </c>
      <c r="AL355" s="540">
        <v>39905</v>
      </c>
      <c r="AM355" s="282">
        <v>40365</v>
      </c>
      <c r="AN355" s="282">
        <v>48574</v>
      </c>
      <c r="AO355" s="282">
        <v>47585</v>
      </c>
      <c r="AP355" s="282">
        <v>41718</v>
      </c>
      <c r="AQ355" s="282">
        <v>42776</v>
      </c>
      <c r="AR355" s="282">
        <v>49446</v>
      </c>
      <c r="AS355" s="282">
        <v>54550</v>
      </c>
      <c r="AT355" s="282">
        <v>50811</v>
      </c>
      <c r="AU355" s="282">
        <f>'[15]2018. I. - Állományi_Új'!D69</f>
        <v>50810</v>
      </c>
      <c r="AV355" s="282">
        <f>'[15]2018. II. - Állományi_Új'!D69</f>
        <v>54293</v>
      </c>
      <c r="AW355" s="283">
        <f>'[15]2018. III. - Állományi_Új'!D69</f>
        <v>64012</v>
      </c>
      <c r="AX355" s="282">
        <f>'[15]2018. IV. - Állományi_Új'!D69</f>
        <v>69844</v>
      </c>
      <c r="AY355" s="282">
        <f>'[15]2019. I. Állomány adatok_Korr'!E76</f>
        <v>77013</v>
      </c>
      <c r="AZ355" s="282">
        <f>'[15]2019. II. Állomány adatok'!E74</f>
        <v>74065</v>
      </c>
      <c r="BA355" s="282">
        <f>'[15]2019. III. Állomány adatok'!E74</f>
        <v>70210</v>
      </c>
      <c r="BB355" s="282">
        <f>'[15]2019. IV. Állomány adatok'!E74</f>
        <v>71515</v>
      </c>
      <c r="BC355" s="282">
        <f>'[15]2020. I. Állomány adatok'!E81</f>
        <v>75270</v>
      </c>
      <c r="BD355" s="282">
        <f>'[15]2020. II. Állományi adatok'!E81</f>
        <v>66827</v>
      </c>
      <c r="BE355" s="540">
        <f>'[15]2020. III. Állományi adatok'!E81</f>
        <v>59072</v>
      </c>
      <c r="BF355" s="445">
        <f>'[15]2020. IV. Állományi adatok'!E81</f>
        <v>55097</v>
      </c>
    </row>
    <row r="356" spans="5:58" x14ac:dyDescent="0.25">
      <c r="E356" s="20" t="s">
        <v>77</v>
      </c>
      <c r="F356" s="618">
        <v>68325.613071999993</v>
      </c>
      <c r="G356" s="63">
        <v>68086.087952000002</v>
      </c>
      <c r="H356" s="63">
        <v>67953.435553999996</v>
      </c>
      <c r="I356" s="63">
        <v>54966.951553999999</v>
      </c>
      <c r="J356" s="63">
        <v>54884.513254999998</v>
      </c>
      <c r="K356" s="63">
        <v>53069.645419</v>
      </c>
      <c r="L356" s="63">
        <v>47991.457057480002</v>
      </c>
      <c r="M356" s="63">
        <v>51559.774197669998</v>
      </c>
      <c r="N356" s="63">
        <v>68921</v>
      </c>
      <c r="O356" s="63">
        <v>68921</v>
      </c>
      <c r="P356" s="63">
        <v>76420</v>
      </c>
      <c r="Q356" s="63">
        <v>62987</v>
      </c>
      <c r="R356" s="63">
        <v>55156</v>
      </c>
      <c r="S356" s="63">
        <v>62672</v>
      </c>
      <c r="T356" s="63">
        <v>61864</v>
      </c>
      <c r="U356" s="63">
        <v>68228</v>
      </c>
      <c r="V356" s="63">
        <f>'[15]2019. IV. Állomány adatok'!H32+'[15]2019. IV. Állomány adatok'!M32+'[15]2019. IV. Állomány adatok'!H74+'[15]2019. IV. Állomány adatok'!M74</f>
        <v>75258</v>
      </c>
      <c r="W356" s="64">
        <f>'[15]2020. I. Állomány adatok'!H34+'[15]2020. I. Állomány adatok'!M34+'[15]2020. I. Állomány adatok'!H81+'[15]2020. I. Állomány adatok'!M81</f>
        <v>76953</v>
      </c>
      <c r="X356" s="63">
        <f>'[15]2020. II. Állományi adatok'!H34+'[15]2020. II. Állományi adatok'!M34+'[15]2020. II. Állományi adatok'!H81+'[15]2020. II. Állományi adatok'!M81</f>
        <v>75895</v>
      </c>
      <c r="Y356" s="63">
        <v>75344</v>
      </c>
      <c r="Z356" s="63">
        <f>'[15]2020. IV. Állományi adatok'!H34+'[15]2020. IV. Állományi adatok'!M34+'[15]2020. IV. Állományi adatok'!H81+'[15]2020. IV. Állományi adatok'!M81</f>
        <v>84577</v>
      </c>
      <c r="AA356" s="63">
        <f>'[15]2021. I. Állományi adatok'!H34+'[15]2021. I. Állományi adatok'!M34+'[15]2021. I. Állományi adatok'!H81+'[15]2021. I. Állományi adatok'!M81</f>
        <v>96166</v>
      </c>
      <c r="AB356" s="597"/>
      <c r="AC356" s="597"/>
      <c r="AD356" s="597"/>
      <c r="AE356" s="616"/>
      <c r="AF356" s="27">
        <f>Z356/F356*100-100</f>
        <v>23.785204694577217</v>
      </c>
      <c r="AG356" t="s">
        <v>459</v>
      </c>
      <c r="AH356" s="27">
        <f t="shared" si="295"/>
        <v>13.702306773709154</v>
      </c>
      <c r="AI356" s="617">
        <f t="shared" si="296"/>
        <v>24.967187763959828</v>
      </c>
      <c r="AK356" s="510" t="s">
        <v>447</v>
      </c>
      <c r="AL356" s="245">
        <f>AL354/AL358*100</f>
        <v>1.5153384831807302</v>
      </c>
      <c r="AM356" s="220">
        <f t="shared" ref="AM356:AX356" si="297">AM354/AM358*100</f>
        <v>1.6830670303975059</v>
      </c>
      <c r="AN356" s="220">
        <f t="shared" si="297"/>
        <v>1.4486284694043177</v>
      </c>
      <c r="AO356" s="220">
        <f t="shared" si="297"/>
        <v>1.9169329073482428</v>
      </c>
      <c r="AP356" s="220">
        <f t="shared" si="297"/>
        <v>1.9645626733092072</v>
      </c>
      <c r="AQ356" s="220">
        <f t="shared" si="297"/>
        <v>1.8854075875040139</v>
      </c>
      <c r="AR356" s="220">
        <f t="shared" si="297"/>
        <v>1.8850702436701325</v>
      </c>
      <c r="AS356" s="220">
        <f t="shared" si="297"/>
        <v>1.9220050702098206</v>
      </c>
      <c r="AT356" s="220">
        <f t="shared" si="297"/>
        <v>1.6415339050310691</v>
      </c>
      <c r="AU356" s="220">
        <f t="shared" si="297"/>
        <v>1.6415656819853655</v>
      </c>
      <c r="AV356" s="220">
        <f t="shared" si="297"/>
        <v>1.4377779794862484</v>
      </c>
      <c r="AW356" s="288">
        <f t="shared" si="297"/>
        <v>1.1474017450389931</v>
      </c>
      <c r="AX356" s="220">
        <f t="shared" si="297"/>
        <v>1.4393768344998872</v>
      </c>
      <c r="AY356" s="220">
        <f>AY354/AY358*100</f>
        <v>1.2083894554550703</v>
      </c>
      <c r="AZ356" s="220">
        <f>AZ354/AZ358*100</f>
        <v>1.4254152470187393</v>
      </c>
      <c r="BA356" s="220">
        <f>BA354/BA358*100</f>
        <v>1.4181409716371807</v>
      </c>
      <c r="BB356" s="220">
        <f>BB354/BB358*100</f>
        <v>1.8998628257887518</v>
      </c>
      <c r="BC356" s="220">
        <f t="shared" ref="BC356:BF356" si="298">BC354/BC358*100</f>
        <v>1.5679556421556446</v>
      </c>
      <c r="BD356" s="220">
        <f t="shared" si="298"/>
        <v>1.7408948552440044</v>
      </c>
      <c r="BE356" s="499">
        <f t="shared" si="298"/>
        <v>2.1727609962904082</v>
      </c>
      <c r="BF356" s="205">
        <f t="shared" si="298"/>
        <v>2.6881435560500893</v>
      </c>
    </row>
    <row r="357" spans="5:58" ht="15.75" thickBot="1" x14ac:dyDescent="0.3">
      <c r="E357" s="619" t="s">
        <v>460</v>
      </c>
      <c r="G357" s="32">
        <f>G354/F354*100-100</f>
        <v>2.9496265083317326</v>
      </c>
      <c r="H357" s="32">
        <f t="shared" ref="H357:Y357" si="299">H354/G354*100-100</f>
        <v>-1.3147286821705393</v>
      </c>
      <c r="I357" s="32">
        <f t="shared" si="299"/>
        <v>5.1919813988562851</v>
      </c>
      <c r="J357" s="32">
        <f t="shared" si="299"/>
        <v>-3.4147390556298944</v>
      </c>
      <c r="K357" s="32">
        <f t="shared" si="299"/>
        <v>-5.4788589524728479</v>
      </c>
      <c r="L357" s="32">
        <f t="shared" si="299"/>
        <v>-0.96847230038346765</v>
      </c>
      <c r="M357" s="32">
        <f t="shared" si="299"/>
        <v>-3.7122203280075041</v>
      </c>
      <c r="N357" s="32">
        <f t="shared" si="299"/>
        <v>3.4271205050782356</v>
      </c>
      <c r="O357" s="32">
        <f t="shared" si="299"/>
        <v>0</v>
      </c>
      <c r="P357" s="32">
        <f t="shared" si="299"/>
        <v>21.138049550804823</v>
      </c>
      <c r="Q357" s="32">
        <f t="shared" si="299"/>
        <v>0.73286155598886182</v>
      </c>
      <c r="R357" s="32">
        <f t="shared" si="299"/>
        <v>-7.9386656516774678E-2</v>
      </c>
      <c r="S357" s="32">
        <f t="shared" si="299"/>
        <v>-1.4649224004701722</v>
      </c>
      <c r="T357" s="32">
        <f t="shared" si="299"/>
        <v>-0.96094371299814441</v>
      </c>
      <c r="U357" s="32">
        <f t="shared" si="299"/>
        <v>12.321281199116726</v>
      </c>
      <c r="V357" s="32">
        <f t="shared" si="299"/>
        <v>10.032368886152867</v>
      </c>
      <c r="W357" s="32">
        <f t="shared" si="299"/>
        <v>10.972044252738726</v>
      </c>
      <c r="X357" s="32">
        <f t="shared" si="299"/>
        <v>-4.5650812753604413</v>
      </c>
      <c r="Y357" s="32">
        <f t="shared" si="299"/>
        <v>36.315533856496501</v>
      </c>
      <c r="Z357" s="32">
        <f>Z354/Y354*100-100</f>
        <v>9.4659465946594707</v>
      </c>
      <c r="AA357" s="32">
        <f>AA354/Z354*100-100</f>
        <v>1.8443652642638568</v>
      </c>
      <c r="AF357" s="1">
        <f>Z353+Z354+Z355+Z356</f>
        <v>616470</v>
      </c>
      <c r="AK357" s="290" t="s">
        <v>448</v>
      </c>
      <c r="AL357" s="365">
        <f>AL355/AL358*100</f>
        <v>98.484661516819273</v>
      </c>
      <c r="AM357" s="292">
        <f t="shared" ref="AM357:AX357" si="300">AM355/AM358*100</f>
        <v>98.316932969602504</v>
      </c>
      <c r="AN357" s="292">
        <f t="shared" si="300"/>
        <v>98.551371530595674</v>
      </c>
      <c r="AO357" s="292">
        <f t="shared" si="300"/>
        <v>98.08306709265176</v>
      </c>
      <c r="AP357" s="292">
        <f t="shared" si="300"/>
        <v>98.035437326690783</v>
      </c>
      <c r="AQ357" s="292">
        <f t="shared" si="300"/>
        <v>98.114592412495981</v>
      </c>
      <c r="AR357" s="292">
        <f t="shared" si="300"/>
        <v>98.114929756329872</v>
      </c>
      <c r="AS357" s="292">
        <f t="shared" si="300"/>
        <v>98.077994929790179</v>
      </c>
      <c r="AT357" s="292">
        <f t="shared" si="300"/>
        <v>98.358466094968932</v>
      </c>
      <c r="AU357" s="292">
        <f t="shared" si="300"/>
        <v>98.358434318014631</v>
      </c>
      <c r="AV357" s="292">
        <f t="shared" si="300"/>
        <v>98.562222020513758</v>
      </c>
      <c r="AW357" s="293">
        <f t="shared" si="300"/>
        <v>98.852598254961009</v>
      </c>
      <c r="AX357" s="292">
        <f t="shared" si="300"/>
        <v>98.560623165500118</v>
      </c>
      <c r="AY357" s="292">
        <f>AY355/AY358*100</f>
        <v>98.791610544544923</v>
      </c>
      <c r="AZ357" s="292">
        <f>AZ355/AZ358*100</f>
        <v>98.574584752981266</v>
      </c>
      <c r="BA357" s="292">
        <f>BA355/BA358*100</f>
        <v>98.581859028362814</v>
      </c>
      <c r="BB357" s="292">
        <f>BB355/BB358*100</f>
        <v>98.100137174211241</v>
      </c>
      <c r="BC357" s="292">
        <f t="shared" ref="BC357:BF357" si="301">BC355/BC358*100</f>
        <v>98.432044357844347</v>
      </c>
      <c r="BD357" s="292">
        <f t="shared" si="301"/>
        <v>98.259105144755992</v>
      </c>
      <c r="BE357" s="543">
        <f t="shared" si="301"/>
        <v>97.827239003709593</v>
      </c>
      <c r="BF357" s="514">
        <f t="shared" si="301"/>
        <v>97.311856443949907</v>
      </c>
    </row>
    <row r="358" spans="5:58" ht="15.75" thickBot="1" x14ac:dyDescent="0.3">
      <c r="F358" s="1">
        <f>F353+F354+F355+F356</f>
        <v>383820.74163568998</v>
      </c>
      <c r="AF358" s="2">
        <f>AF357/F358*100-100</f>
        <v>60.614040130518276</v>
      </c>
      <c r="AK358" s="20" t="s">
        <v>461</v>
      </c>
      <c r="AL358" s="370">
        <f t="shared" ref="AL358:AX358" si="302">AL354+AL355</f>
        <v>40519</v>
      </c>
      <c r="AM358" s="371">
        <f t="shared" si="302"/>
        <v>41056</v>
      </c>
      <c r="AN358" s="371">
        <f t="shared" si="302"/>
        <v>49288</v>
      </c>
      <c r="AO358" s="371">
        <f t="shared" si="302"/>
        <v>48515</v>
      </c>
      <c r="AP358" s="371">
        <f t="shared" si="302"/>
        <v>42554</v>
      </c>
      <c r="AQ358" s="371">
        <f t="shared" si="302"/>
        <v>43598</v>
      </c>
      <c r="AR358" s="371">
        <f t="shared" si="302"/>
        <v>50396</v>
      </c>
      <c r="AS358" s="371">
        <f t="shared" si="302"/>
        <v>55619</v>
      </c>
      <c r="AT358" s="371">
        <f t="shared" si="302"/>
        <v>51659</v>
      </c>
      <c r="AU358" s="371">
        <f t="shared" si="302"/>
        <v>51658</v>
      </c>
      <c r="AV358" s="371">
        <f t="shared" si="302"/>
        <v>55085</v>
      </c>
      <c r="AW358" s="372">
        <f t="shared" si="302"/>
        <v>64755</v>
      </c>
      <c r="AX358" s="371">
        <f t="shared" si="302"/>
        <v>70864</v>
      </c>
      <c r="AY358" s="371">
        <f>AY354+AY355</f>
        <v>77955</v>
      </c>
      <c r="AZ358" s="371">
        <f>AZ354+AZ355</f>
        <v>75136</v>
      </c>
      <c r="BA358" s="371">
        <f>BA354+BA355</f>
        <v>71220</v>
      </c>
      <c r="BB358" s="371">
        <f>BB354+BB355</f>
        <v>72900</v>
      </c>
      <c r="BC358" s="371">
        <f t="shared" ref="BC358:BF358" si="303">BC354+BC355</f>
        <v>76469</v>
      </c>
      <c r="BD358" s="371">
        <f t="shared" si="303"/>
        <v>68011</v>
      </c>
      <c r="BE358" s="544">
        <f t="shared" si="303"/>
        <v>60384</v>
      </c>
      <c r="BF358" s="518">
        <f t="shared" si="303"/>
        <v>56619</v>
      </c>
    </row>
    <row r="359" spans="5:58" ht="15.75" thickBot="1" x14ac:dyDescent="0.3">
      <c r="F359" s="77" t="s">
        <v>0</v>
      </c>
      <c r="G359" s="31" t="s">
        <v>1</v>
      </c>
      <c r="H359" s="31" t="s">
        <v>2</v>
      </c>
      <c r="I359" s="31" t="s">
        <v>3</v>
      </c>
      <c r="J359" s="31" t="s">
        <v>4</v>
      </c>
      <c r="K359" s="31" t="s">
        <v>5</v>
      </c>
      <c r="L359" s="31" t="s">
        <v>6</v>
      </c>
      <c r="M359" s="31" t="s">
        <v>7</v>
      </c>
      <c r="N359" s="31" t="s">
        <v>27</v>
      </c>
      <c r="O359" s="31" t="s">
        <v>9</v>
      </c>
      <c r="P359" s="31" t="s">
        <v>10</v>
      </c>
      <c r="Q359" s="79" t="s">
        <v>11</v>
      </c>
      <c r="R359" s="94" t="s">
        <v>12</v>
      </c>
      <c r="S359" s="49" t="s">
        <v>13</v>
      </c>
      <c r="T359" s="35" t="s">
        <v>14</v>
      </c>
      <c r="U359" s="35" t="s">
        <v>15</v>
      </c>
      <c r="V359" s="35" t="s">
        <v>16</v>
      </c>
      <c r="W359" s="35" t="s">
        <v>17</v>
      </c>
      <c r="X359" s="35" t="s">
        <v>18</v>
      </c>
      <c r="Y359" s="35" t="s">
        <v>19</v>
      </c>
      <c r="Z359" s="35" t="s">
        <v>20</v>
      </c>
      <c r="AA359" s="35" t="s">
        <v>201</v>
      </c>
      <c r="AB359" s="35" t="s">
        <v>57</v>
      </c>
      <c r="AC359" s="36" t="s">
        <v>58</v>
      </c>
      <c r="AD359" s="369" t="s">
        <v>59</v>
      </c>
      <c r="AK359" s="380" t="s">
        <v>462</v>
      </c>
      <c r="AL359" s="248">
        <f>AL358/AL360*100</f>
        <v>10.556743898848682</v>
      </c>
      <c r="AM359" s="223">
        <f t="shared" ref="AM359:BF359" si="304">AM358/AM360*100</f>
        <v>10.530581675105291</v>
      </c>
      <c r="AN359" s="223">
        <f t="shared" si="304"/>
        <v>11.850298854112069</v>
      </c>
      <c r="AO359" s="223">
        <f t="shared" si="304"/>
        <v>11.489257905007294</v>
      </c>
      <c r="AP359" s="223">
        <f t="shared" si="304"/>
        <v>10.834882240611075</v>
      </c>
      <c r="AQ359" s="223">
        <f t="shared" si="304"/>
        <v>11.368300282916781</v>
      </c>
      <c r="AR359" s="223">
        <f t="shared" si="304"/>
        <v>11.760670038015181</v>
      </c>
      <c r="AS359" s="223">
        <f t="shared" si="304"/>
        <v>12.091980711617815</v>
      </c>
      <c r="AT359" s="223">
        <f t="shared" si="304"/>
        <v>11.469786319472815</v>
      </c>
      <c r="AU359" s="223">
        <f t="shared" si="304"/>
        <v>11.392893611484199</v>
      </c>
      <c r="AV359" s="223">
        <f t="shared" si="304"/>
        <v>11.8415508701933</v>
      </c>
      <c r="AW359" s="223">
        <f t="shared" si="304"/>
        <v>13.056180590839805</v>
      </c>
      <c r="AX359" s="223">
        <f t="shared" si="304"/>
        <v>14.028502819993546</v>
      </c>
      <c r="AY359" s="223">
        <f t="shared" si="304"/>
        <v>14.978412870425345</v>
      </c>
      <c r="AZ359" s="223">
        <f t="shared" si="304"/>
        <v>14.709187369080478</v>
      </c>
      <c r="BA359" s="223">
        <f t="shared" si="304"/>
        <v>13.03283278374135</v>
      </c>
      <c r="BB359" s="223">
        <f t="shared" si="304"/>
        <v>13.378896213533789</v>
      </c>
      <c r="BC359" s="223">
        <f t="shared" si="304"/>
        <v>13.676067788112928</v>
      </c>
      <c r="BD359" s="223">
        <f t="shared" si="304"/>
        <v>12.822127412479567</v>
      </c>
      <c r="BE359" s="545">
        <f t="shared" si="304"/>
        <v>10.178611161680523</v>
      </c>
      <c r="BF359" s="523">
        <f t="shared" si="304"/>
        <v>9.1844332300025791</v>
      </c>
    </row>
    <row r="360" spans="5:58" ht="15.75" thickBot="1" x14ac:dyDescent="0.3">
      <c r="E360" s="72" t="s">
        <v>60</v>
      </c>
      <c r="F360" s="600">
        <v>183218</v>
      </c>
      <c r="G360" s="471">
        <v>184360</v>
      </c>
      <c r="H360" s="471">
        <v>205315</v>
      </c>
      <c r="I360" s="471">
        <v>292403</v>
      </c>
      <c r="J360" s="471">
        <v>319031</v>
      </c>
      <c r="K360" s="471">
        <v>330064</v>
      </c>
      <c r="L360" s="471">
        <v>336812</v>
      </c>
      <c r="M360" s="471">
        <v>324162</v>
      </c>
      <c r="N360" s="471">
        <v>310380</v>
      </c>
      <c r="O360" s="471">
        <v>349121</v>
      </c>
      <c r="P360" s="471">
        <v>359335</v>
      </c>
      <c r="Q360" s="471">
        <v>361384</v>
      </c>
      <c r="R360" s="471">
        <v>305908</v>
      </c>
      <c r="S360" s="471">
        <v>370498</v>
      </c>
      <c r="T360" s="471">
        <v>393784</v>
      </c>
      <c r="U360" s="471">
        <v>415155</v>
      </c>
      <c r="V360" s="472">
        <v>406421</v>
      </c>
      <c r="W360" s="471">
        <v>412445</v>
      </c>
      <c r="X360" s="471">
        <v>437432</v>
      </c>
      <c r="Y360" s="471">
        <v>443776</v>
      </c>
      <c r="Z360" s="471">
        <v>459351</v>
      </c>
      <c r="AA360" s="471">
        <v>458781</v>
      </c>
      <c r="AB360" s="615"/>
      <c r="AC360" s="615"/>
      <c r="AD360" s="615"/>
      <c r="AF360" s="27">
        <f>Z360/F360*100-100</f>
        <v>150.71281205995044</v>
      </c>
      <c r="AK360" s="20" t="s">
        <v>44</v>
      </c>
      <c r="AL360" s="387">
        <v>383821</v>
      </c>
      <c r="AM360" s="388">
        <v>389874</v>
      </c>
      <c r="AN360" s="388">
        <v>415922</v>
      </c>
      <c r="AO360" s="388">
        <v>422264</v>
      </c>
      <c r="AP360" s="388">
        <v>392750</v>
      </c>
      <c r="AQ360" s="388">
        <v>383505</v>
      </c>
      <c r="AR360" s="388">
        <v>428513</v>
      </c>
      <c r="AS360" s="388">
        <v>459966</v>
      </c>
      <c r="AT360" s="388">
        <v>450392</v>
      </c>
      <c r="AU360" s="388">
        <v>453423</v>
      </c>
      <c r="AV360" s="388">
        <v>465184</v>
      </c>
      <c r="AW360" s="389">
        <v>495972</v>
      </c>
      <c r="AX360" s="388">
        <v>505143</v>
      </c>
      <c r="AY360" s="388">
        <v>520449</v>
      </c>
      <c r="AZ360" s="388">
        <v>510810</v>
      </c>
      <c r="BA360" s="388">
        <v>546466</v>
      </c>
      <c r="BB360" s="388">
        <v>544888</v>
      </c>
      <c r="BC360" s="388">
        <v>559144.64</v>
      </c>
      <c r="BD360" s="388">
        <v>530419</v>
      </c>
      <c r="BE360" s="388">
        <v>593244</v>
      </c>
      <c r="BF360" s="611">
        <v>616467</v>
      </c>
    </row>
    <row r="361" spans="5:58" x14ac:dyDescent="0.25">
      <c r="E361" s="72" t="s">
        <v>63</v>
      </c>
      <c r="F361" s="600">
        <v>121979</v>
      </c>
      <c r="G361" s="471">
        <v>131732</v>
      </c>
      <c r="H361" s="471">
        <v>140200</v>
      </c>
      <c r="I361" s="471">
        <v>125460</v>
      </c>
      <c r="J361" s="471">
        <v>128597</v>
      </c>
      <c r="K361" s="471">
        <v>127870</v>
      </c>
      <c r="L361" s="471">
        <v>131807</v>
      </c>
      <c r="M361" s="471">
        <v>114667</v>
      </c>
      <c r="N361" s="471">
        <v>105166</v>
      </c>
      <c r="O361" s="471">
        <v>105166</v>
      </c>
      <c r="P361" s="471">
        <v>104389</v>
      </c>
      <c r="Q361" s="471">
        <v>110918</v>
      </c>
      <c r="R361" s="471">
        <v>109023</v>
      </c>
      <c r="S361" s="471">
        <v>114952</v>
      </c>
      <c r="T361" s="471">
        <v>126613</v>
      </c>
      <c r="U361" s="471">
        <v>134153</v>
      </c>
      <c r="V361" s="472">
        <v>126427</v>
      </c>
      <c r="W361" s="471">
        <v>129000</v>
      </c>
      <c r="X361" s="471">
        <v>121664</v>
      </c>
      <c r="Y361" s="471">
        <v>138966</v>
      </c>
      <c r="Z361" s="471">
        <v>146232</v>
      </c>
      <c r="AA361" s="471">
        <v>144523</v>
      </c>
      <c r="AB361" s="597"/>
      <c r="AC361" s="597"/>
      <c r="AD361" s="597"/>
      <c r="AF361" s="27">
        <f>Z361/F361*100-100</f>
        <v>19.882930668393755</v>
      </c>
      <c r="AK361" s="25" t="s">
        <v>463</v>
      </c>
      <c r="AL361" s="398">
        <v>0</v>
      </c>
      <c r="AM361" s="232">
        <f>AM358/AL358*100-100</f>
        <v>1.3253041782867285</v>
      </c>
      <c r="AN361" s="232">
        <f t="shared" ref="AN361:BD361" si="305">AN358/AM358*100-100</f>
        <v>20.050662509742793</v>
      </c>
      <c r="AO361" s="232">
        <f t="shared" si="305"/>
        <v>-1.5683330628144745</v>
      </c>
      <c r="AP361" s="232">
        <f t="shared" si="305"/>
        <v>-12.286921570648261</v>
      </c>
      <c r="AQ361" s="232">
        <f t="shared" si="305"/>
        <v>2.4533533862856558</v>
      </c>
      <c r="AR361" s="232">
        <f t="shared" si="305"/>
        <v>15.592458369649975</v>
      </c>
      <c r="AS361" s="232">
        <f t="shared" si="305"/>
        <v>10.363917771251693</v>
      </c>
      <c r="AT361" s="232">
        <f t="shared" si="305"/>
        <v>-7.1198691094769799</v>
      </c>
      <c r="AU361" s="232">
        <f t="shared" si="305"/>
        <v>-1.9357711144323275E-3</v>
      </c>
      <c r="AV361" s="232">
        <f t="shared" si="305"/>
        <v>6.6340160284950969</v>
      </c>
      <c r="AW361" s="550">
        <f t="shared" si="305"/>
        <v>17.554688209131356</v>
      </c>
      <c r="AX361" s="232">
        <f t="shared" si="305"/>
        <v>9.4340205389545275</v>
      </c>
      <c r="AY361" s="232">
        <f t="shared" si="305"/>
        <v>10.006491307292848</v>
      </c>
      <c r="AZ361" s="232">
        <f t="shared" si="305"/>
        <v>-3.6161888268873099</v>
      </c>
      <c r="BA361" s="232">
        <f t="shared" si="305"/>
        <v>-5.2118824531516168</v>
      </c>
      <c r="BB361" s="232">
        <f t="shared" si="305"/>
        <v>2.3588879528222435</v>
      </c>
      <c r="BC361" s="232">
        <f t="shared" si="305"/>
        <v>4.8957475994513118</v>
      </c>
      <c r="BD361" s="232">
        <f t="shared" si="305"/>
        <v>-11.060691260510794</v>
      </c>
      <c r="BE361" s="458">
        <f>BE358/BD358*100-100</f>
        <v>-11.214362382555763</v>
      </c>
      <c r="BF361" s="211">
        <f>BF358/BE358*100-100</f>
        <v>-6.2350953895071513</v>
      </c>
    </row>
    <row r="362" spans="5:58" x14ac:dyDescent="0.25">
      <c r="E362" s="72" t="s">
        <v>66</v>
      </c>
      <c r="F362" s="600">
        <v>94389.682143999991</v>
      </c>
      <c r="G362" s="471">
        <v>97095.397956000001</v>
      </c>
      <c r="H362" s="471">
        <v>111749.2168088</v>
      </c>
      <c r="I362" s="471">
        <v>86393.238572439994</v>
      </c>
      <c r="J362" s="471">
        <v>99440.814976180001</v>
      </c>
      <c r="K362" s="471">
        <v>99566.586715320009</v>
      </c>
      <c r="L362" s="471">
        <v>122843.42086325999</v>
      </c>
      <c r="M362" s="471">
        <v>119440.98086859001</v>
      </c>
      <c r="N362" s="471">
        <v>97182.161999999997</v>
      </c>
      <c r="O362" s="471">
        <v>97194</v>
      </c>
      <c r="P362" s="471">
        <v>103904</v>
      </c>
      <c r="Q362" s="471">
        <v>121774</v>
      </c>
      <c r="R362" s="471">
        <v>134513</v>
      </c>
      <c r="S362" s="471">
        <v>131754</v>
      </c>
      <c r="T362" s="471">
        <v>134174</v>
      </c>
      <c r="U362" s="471">
        <v>139575</v>
      </c>
      <c r="V362" s="472">
        <v>147847</v>
      </c>
      <c r="W362" s="471">
        <v>142868</v>
      </c>
      <c r="X362" s="471">
        <v>165390</v>
      </c>
      <c r="Y362" s="471">
        <v>175417</v>
      </c>
      <c r="Z362" s="471">
        <v>158423</v>
      </c>
      <c r="AA362" s="471">
        <v>151648</v>
      </c>
      <c r="AB362" s="601"/>
      <c r="AC362" s="601"/>
      <c r="AD362" s="601"/>
      <c r="AF362" s="27">
        <f>Z362/F362*100-100</f>
        <v>67.839319300081343</v>
      </c>
      <c r="AK362" s="15" t="s">
        <v>326</v>
      </c>
      <c r="AL362" s="13">
        <f>AL354/AL360*100</f>
        <v>0.1599704028700879</v>
      </c>
      <c r="AM362" s="458">
        <f t="shared" ref="AM362:BF362" si="306">AM354/AM360*100</f>
        <v>0.17723674828277852</v>
      </c>
      <c r="AN362" s="458">
        <f t="shared" si="306"/>
        <v>0.17166680291016104</v>
      </c>
      <c r="AO362" s="458">
        <f t="shared" si="306"/>
        <v>0.22024136559119414</v>
      </c>
      <c r="AP362" s="458">
        <f t="shared" si="306"/>
        <v>0.21285805219605347</v>
      </c>
      <c r="AQ362" s="458">
        <f t="shared" si="306"/>
        <v>0.21433879610435325</v>
      </c>
      <c r="AR362" s="458">
        <f t="shared" si="306"/>
        <v>0.22169689134285309</v>
      </c>
      <c r="AS362" s="458">
        <f t="shared" si="306"/>
        <v>0.23240848236608791</v>
      </c>
      <c r="AT362" s="458">
        <f t="shared" si="306"/>
        <v>0.18828043126876143</v>
      </c>
      <c r="AU362" s="458">
        <f t="shared" si="306"/>
        <v>0.18702183171122772</v>
      </c>
      <c r="AV362" s="458">
        <f t="shared" si="306"/>
        <v>0.17025521084130152</v>
      </c>
      <c r="AW362" s="459">
        <f t="shared" si="306"/>
        <v>0.14980684393473825</v>
      </c>
      <c r="AX362" s="14">
        <f t="shared" si="306"/>
        <v>0.2019230198181505</v>
      </c>
      <c r="AY362" s="14">
        <f t="shared" si="306"/>
        <v>0.18099756172074496</v>
      </c>
      <c r="AZ362" s="14">
        <f t="shared" si="306"/>
        <v>0.20966699947142772</v>
      </c>
      <c r="BA362" s="14">
        <f t="shared" si="306"/>
        <v>0.18482394147119857</v>
      </c>
      <c r="BB362" s="14">
        <f t="shared" si="306"/>
        <v>0.25418067566178737</v>
      </c>
      <c r="BC362" s="14">
        <f t="shared" si="306"/>
        <v>0.21443467650874734</v>
      </c>
      <c r="BD362" s="14">
        <f t="shared" si="306"/>
        <v>0.22321975645668801</v>
      </c>
      <c r="BE362" s="458">
        <f t="shared" si="306"/>
        <v>0.22115689328505639</v>
      </c>
      <c r="BF362" s="211">
        <f t="shared" si="306"/>
        <v>0.24689075003203739</v>
      </c>
    </row>
    <row r="363" spans="5:58" ht="15.75" thickBot="1" x14ac:dyDescent="0.3">
      <c r="E363" s="72" t="s">
        <v>68</v>
      </c>
      <c r="F363" s="600">
        <v>41648.096647259998</v>
      </c>
      <c r="G363" s="471">
        <v>45143.081831000003</v>
      </c>
      <c r="H363" s="471">
        <v>51509.329144000003</v>
      </c>
      <c r="I363" s="471">
        <v>58994.108231000006</v>
      </c>
      <c r="J363" s="471">
        <v>57986.622282209995</v>
      </c>
      <c r="K363" s="471">
        <v>64979.578405940003</v>
      </c>
      <c r="L363" s="471">
        <v>53262.333029000001</v>
      </c>
      <c r="M363" s="471">
        <v>52389.253880000004</v>
      </c>
      <c r="N363" s="471">
        <v>67640</v>
      </c>
      <c r="O363" s="471">
        <v>67640</v>
      </c>
      <c r="P363" s="471">
        <v>77080</v>
      </c>
      <c r="Q363" s="471">
        <v>73328</v>
      </c>
      <c r="R363" s="471">
        <v>75005</v>
      </c>
      <c r="S363" s="471">
        <v>67356</v>
      </c>
      <c r="T363" s="471">
        <v>68042</v>
      </c>
      <c r="U363" s="471">
        <v>57634</v>
      </c>
      <c r="V363" s="472">
        <v>48164</v>
      </c>
      <c r="W363" s="471">
        <v>98587</v>
      </c>
      <c r="X363" s="471">
        <v>51141</v>
      </c>
      <c r="Y363" s="471">
        <v>54357</v>
      </c>
      <c r="Z363" s="471">
        <v>50916</v>
      </c>
      <c r="AA363" s="471">
        <v>97179</v>
      </c>
      <c r="AB363" s="597"/>
      <c r="AC363" s="597"/>
      <c r="AD363" s="597"/>
      <c r="AF363" s="27">
        <f>Z363/F363*100-100</f>
        <v>22.252885723049559</v>
      </c>
      <c r="AK363" s="15" t="s">
        <v>327</v>
      </c>
      <c r="AL363" s="402">
        <f>AL355/AL360*100</f>
        <v>10.396773495978593</v>
      </c>
      <c r="AM363" s="501">
        <f t="shared" ref="AM363:BF363" si="307">AM355/AM360*100</f>
        <v>10.353344926822512</v>
      </c>
      <c r="AN363" s="501">
        <f t="shared" si="307"/>
        <v>11.678632051201907</v>
      </c>
      <c r="AO363" s="501">
        <f t="shared" si="307"/>
        <v>11.2690165394161</v>
      </c>
      <c r="AP363" s="501">
        <f t="shared" si="307"/>
        <v>10.622024188415022</v>
      </c>
      <c r="AQ363" s="501">
        <f t="shared" si="307"/>
        <v>11.153961486812427</v>
      </c>
      <c r="AR363" s="501">
        <f t="shared" si="307"/>
        <v>11.53897314667233</v>
      </c>
      <c r="AS363" s="501">
        <f t="shared" si="307"/>
        <v>11.859572229251727</v>
      </c>
      <c r="AT363" s="501">
        <f t="shared" si="307"/>
        <v>11.281505888204054</v>
      </c>
      <c r="AU363" s="501">
        <f t="shared" si="307"/>
        <v>11.205871779772972</v>
      </c>
      <c r="AV363" s="501">
        <f t="shared" si="307"/>
        <v>11.671295659351999</v>
      </c>
      <c r="AW363" s="612">
        <f t="shared" si="307"/>
        <v>12.906373746905068</v>
      </c>
      <c r="AX363" s="403">
        <f t="shared" si="307"/>
        <v>13.826579800175395</v>
      </c>
      <c r="AY363" s="403">
        <f t="shared" si="307"/>
        <v>14.797415308704601</v>
      </c>
      <c r="AZ363" s="403">
        <f t="shared" si="307"/>
        <v>14.499520369609053</v>
      </c>
      <c r="BA363" s="403">
        <f t="shared" si="307"/>
        <v>12.848008842270151</v>
      </c>
      <c r="BB363" s="403">
        <f t="shared" si="307"/>
        <v>13.124715537872003</v>
      </c>
      <c r="BC363" s="403">
        <f t="shared" si="307"/>
        <v>13.461633111604183</v>
      </c>
      <c r="BD363" s="403">
        <f t="shared" si="307"/>
        <v>12.598907656022881</v>
      </c>
      <c r="BE363" s="460">
        <f t="shared" si="307"/>
        <v>9.9574542683954661</v>
      </c>
      <c r="BF363" s="463">
        <f t="shared" si="307"/>
        <v>8.9375424799705421</v>
      </c>
    </row>
    <row r="364" spans="5:58" ht="15.75" thickBot="1" x14ac:dyDescent="0.3">
      <c r="J364" s="1">
        <f>SUM(J360:J363)</f>
        <v>605055.43725839001</v>
      </c>
      <c r="M364" s="1">
        <f>SUM(M360:M363)</f>
        <v>610659.23474859004</v>
      </c>
      <c r="AF364" s="1">
        <f>Z360+Z361+Z362+Z363</f>
        <v>814922</v>
      </c>
      <c r="AG364" s="2">
        <f>AF364/F365*100-100</f>
        <v>84.691243567072604</v>
      </c>
      <c r="AK364" s="12" t="s">
        <v>26</v>
      </c>
      <c r="AL364" s="464">
        <v>825056</v>
      </c>
      <c r="AM364" s="465">
        <v>848204</v>
      </c>
      <c r="AN364" s="465">
        <v>924696</v>
      </c>
      <c r="AO364" s="465">
        <v>985514</v>
      </c>
      <c r="AP364" s="465">
        <v>997791</v>
      </c>
      <c r="AQ364" s="465">
        <v>1005984</v>
      </c>
      <c r="AR364" s="465">
        <v>1073238</v>
      </c>
      <c r="AS364" s="465">
        <v>1070624</v>
      </c>
      <c r="AT364" s="465">
        <v>1030760</v>
      </c>
      <c r="AU364" s="465">
        <v>1072544</v>
      </c>
      <c r="AV364" s="465">
        <v>1109892</v>
      </c>
      <c r="AW364" s="465">
        <v>1163376</v>
      </c>
      <c r="AX364" s="465">
        <v>1129593</v>
      </c>
      <c r="AY364" s="465">
        <v>1205011</v>
      </c>
      <c r="AZ364" s="465">
        <v>1233423</v>
      </c>
      <c r="BA364" s="465">
        <v>1292983</v>
      </c>
      <c r="BB364" s="465">
        <v>1269580</v>
      </c>
      <c r="BC364" s="465">
        <v>1292276.71</v>
      </c>
      <c r="BD364" s="465">
        <v>1306049</v>
      </c>
      <c r="BE364" s="482">
        <v>1405757</v>
      </c>
      <c r="BF364" s="467">
        <v>1431391</v>
      </c>
    </row>
    <row r="365" spans="5:58" ht="15.75" thickBot="1" x14ac:dyDescent="0.3">
      <c r="F365" s="1">
        <f>F360+F361+F362+F363</f>
        <v>441234.77879125997</v>
      </c>
      <c r="J365">
        <f>J361/J364*100</f>
        <v>21.25375495883403</v>
      </c>
      <c r="M365">
        <f>M361/M364*100</f>
        <v>18.777575687888959</v>
      </c>
      <c r="S365" s="1115" t="s">
        <v>464</v>
      </c>
      <c r="T365" s="1115"/>
      <c r="U365" s="1115"/>
      <c r="V365" s="1115"/>
      <c r="W365" s="1115"/>
      <c r="X365" s="1115"/>
      <c r="Y365" s="1115"/>
      <c r="Z365" s="1115"/>
      <c r="AA365" s="1115"/>
      <c r="AB365" s="1115"/>
      <c r="AC365" s="1115"/>
      <c r="AD365" s="1115"/>
      <c r="AK365" s="483" t="s">
        <v>465</v>
      </c>
      <c r="AL365" s="613">
        <f>AL358/AL364*100</f>
        <v>4.9110605825543958</v>
      </c>
      <c r="AM365" s="484">
        <f t="shared" ref="AM365:BD365" si="308">AM358/AM364*100</f>
        <v>4.8403450113416113</v>
      </c>
      <c r="AN365" s="484">
        <f t="shared" si="308"/>
        <v>5.3301841902636111</v>
      </c>
      <c r="AO365" s="484">
        <f t="shared" si="308"/>
        <v>4.9228118524952462</v>
      </c>
      <c r="AP365" s="484">
        <f t="shared" si="308"/>
        <v>4.2648209895659512</v>
      </c>
      <c r="AQ365" s="484">
        <f t="shared" si="308"/>
        <v>4.3338661449883897</v>
      </c>
      <c r="AR365" s="484">
        <f t="shared" si="308"/>
        <v>4.6956965742920023</v>
      </c>
      <c r="AS365" s="484">
        <f t="shared" si="308"/>
        <v>5.1950077711689628</v>
      </c>
      <c r="AT365" s="484">
        <f t="shared" si="308"/>
        <v>5.0117389110947261</v>
      </c>
      <c r="AU365" s="484">
        <f t="shared" si="308"/>
        <v>4.8163991407345526</v>
      </c>
      <c r="AV365" s="484">
        <f t="shared" si="308"/>
        <v>4.9630955083918078</v>
      </c>
      <c r="AW365" s="484">
        <f t="shared" si="308"/>
        <v>5.5661282336922886</v>
      </c>
      <c r="AX365" s="484">
        <f t="shared" si="308"/>
        <v>6.2734099804088732</v>
      </c>
      <c r="AY365" s="484">
        <f t="shared" si="308"/>
        <v>6.4692355505468413</v>
      </c>
      <c r="AZ365" s="484">
        <f t="shared" si="308"/>
        <v>6.0916652275821024</v>
      </c>
      <c r="BA365" s="484">
        <f t="shared" si="308"/>
        <v>5.5081930698238111</v>
      </c>
      <c r="BB365" s="484">
        <f t="shared" si="308"/>
        <v>5.7420564281100841</v>
      </c>
      <c r="BC365" s="484">
        <f t="shared" si="308"/>
        <v>5.9173859134240683</v>
      </c>
      <c r="BD365" s="484">
        <f t="shared" si="308"/>
        <v>5.2073850215420707</v>
      </c>
      <c r="BE365" s="546">
        <f>BE358/BE364*100</f>
        <v>4.2954792328972928</v>
      </c>
      <c r="BF365" s="192">
        <f>BF358/BF364*100</f>
        <v>3.9555229842859148</v>
      </c>
    </row>
    <row r="366" spans="5:58" x14ac:dyDescent="0.25">
      <c r="S366" s="1115"/>
      <c r="T366" s="1115"/>
      <c r="U366" s="1115"/>
      <c r="V366" s="1115"/>
      <c r="W366" s="1115"/>
      <c r="X366" s="1115"/>
      <c r="Y366" s="1115"/>
      <c r="Z366" s="1115"/>
      <c r="AA366" s="1115"/>
      <c r="AB366" s="1115"/>
      <c r="AC366" s="1115"/>
      <c r="AD366" s="1115"/>
    </row>
    <row r="367" spans="5:58" x14ac:dyDescent="0.25">
      <c r="S367" s="1115"/>
      <c r="T367" s="1115"/>
      <c r="U367" s="1115"/>
      <c r="V367" s="1115"/>
      <c r="W367" s="1115"/>
      <c r="X367" s="1115"/>
      <c r="Y367" s="1115"/>
      <c r="Z367" s="1115"/>
      <c r="AA367" s="1115"/>
      <c r="AB367" s="1115"/>
      <c r="AC367" s="1115"/>
      <c r="AD367" s="1115"/>
    </row>
    <row r="368" spans="5:58" ht="15.75" thickBot="1" x14ac:dyDescent="0.3">
      <c r="S368" s="1115"/>
      <c r="T368" s="1115"/>
      <c r="U368" s="1115"/>
      <c r="V368" s="1115"/>
      <c r="W368" s="1115"/>
      <c r="X368" s="1115"/>
      <c r="Y368" s="1115"/>
      <c r="Z368" s="1115"/>
      <c r="AA368" s="1115"/>
      <c r="AB368" s="1115"/>
      <c r="AC368" s="1115"/>
      <c r="AD368" s="1115"/>
    </row>
    <row r="369" spans="19:53" ht="15.75" thickBot="1" x14ac:dyDescent="0.3">
      <c r="S369" s="1115"/>
      <c r="T369" s="1115"/>
      <c r="U369" s="1115"/>
      <c r="V369" s="1115"/>
      <c r="W369" s="1115"/>
      <c r="X369" s="1115"/>
      <c r="Y369" s="1115"/>
      <c r="Z369" s="1115"/>
      <c r="AA369" s="1115"/>
      <c r="AB369" s="1115"/>
      <c r="AC369" s="1115"/>
      <c r="AD369" s="1115"/>
      <c r="AK369" s="1109" t="s">
        <v>466</v>
      </c>
      <c r="AL369" s="1110"/>
      <c r="AM369" s="1110"/>
      <c r="AN369" s="1110"/>
      <c r="AO369" s="1110"/>
      <c r="AP369" s="1110"/>
      <c r="AQ369" s="1110"/>
      <c r="AR369" s="1110"/>
      <c r="AS369" s="1110"/>
      <c r="AT369" s="1110"/>
      <c r="AU369" s="1110"/>
      <c r="AV369" s="1110"/>
      <c r="AW369" s="1110"/>
      <c r="AX369" s="1110"/>
      <c r="AY369" s="1110"/>
      <c r="AZ369" s="1110"/>
      <c r="BA369" s="1111"/>
    </row>
    <row r="370" spans="19:53" ht="15.75" thickBot="1" x14ac:dyDescent="0.3">
      <c r="S370" s="1115"/>
      <c r="T370" s="1115"/>
      <c r="U370" s="1115"/>
      <c r="V370" s="1115"/>
      <c r="W370" s="1115"/>
      <c r="X370" s="1115"/>
      <c r="Y370" s="1115"/>
      <c r="Z370" s="1115"/>
      <c r="AA370" s="1115"/>
      <c r="AB370" s="1115"/>
      <c r="AC370" s="1115"/>
      <c r="AD370" s="1115"/>
      <c r="AK370" s="102" t="s">
        <v>467</v>
      </c>
      <c r="AL370" s="257" t="s">
        <v>235</v>
      </c>
      <c r="AM370" s="257" t="s">
        <v>236</v>
      </c>
      <c r="AN370" s="257" t="s">
        <v>237</v>
      </c>
      <c r="AO370" s="257" t="s">
        <v>238</v>
      </c>
      <c r="AP370" s="257" t="s">
        <v>239</v>
      </c>
      <c r="AQ370" s="257" t="s">
        <v>240</v>
      </c>
      <c r="AR370" s="257" t="s">
        <v>241</v>
      </c>
      <c r="AS370" s="3" t="s">
        <v>242</v>
      </c>
      <c r="AT370" s="3" t="s">
        <v>243</v>
      </c>
      <c r="AU370" s="3" t="s">
        <v>244</v>
      </c>
      <c r="AV370" s="3" t="s">
        <v>245</v>
      </c>
      <c r="AW370" s="3" t="s">
        <v>246</v>
      </c>
      <c r="AX370" s="3" t="s">
        <v>247</v>
      </c>
      <c r="AY370" s="3" t="s">
        <v>248</v>
      </c>
      <c r="AZ370" s="3" t="s">
        <v>249</v>
      </c>
      <c r="BA370" s="3" t="s">
        <v>250</v>
      </c>
    </row>
    <row r="371" spans="19:53" x14ac:dyDescent="0.25">
      <c r="S371" s="1115"/>
      <c r="T371" s="1115"/>
      <c r="U371" s="1115"/>
      <c r="V371" s="1115"/>
      <c r="W371" s="1115"/>
      <c r="X371" s="1115"/>
      <c r="Y371" s="1115"/>
      <c r="Z371" s="1115"/>
      <c r="AA371" s="1115"/>
      <c r="AB371" s="1115"/>
      <c r="AC371" s="1115"/>
      <c r="AD371" s="1115"/>
      <c r="AK371" s="24" t="s">
        <v>332</v>
      </c>
      <c r="AL371" s="245">
        <f t="shared" ref="AL371:AO372" si="309">AP337/AL337*100-100</f>
        <v>50.088016249153696</v>
      </c>
      <c r="AM371" s="220">
        <f t="shared" si="309"/>
        <v>53.046929722157358</v>
      </c>
      <c r="AN371" s="220">
        <f t="shared" si="309"/>
        <v>42.173072793643968</v>
      </c>
      <c r="AO371" s="220">
        <f t="shared" si="309"/>
        <v>3.4450651769087415</v>
      </c>
      <c r="AP371" s="220">
        <f>AU337/AP337*100-100</f>
        <v>-20.389750992421511</v>
      </c>
      <c r="AQ371" s="220">
        <f t="shared" ref="AQ371:AS372" si="310">AV337/AQ337*100-100</f>
        <v>-17.646834477498103</v>
      </c>
      <c r="AR371" s="220">
        <f t="shared" si="310"/>
        <v>-18.558374867844734</v>
      </c>
      <c r="AS371" s="220">
        <f>AX337/AS337*100-100</f>
        <v>26.050499786820794</v>
      </c>
      <c r="AT371" s="221">
        <f>AY337/AU337*100-100</f>
        <v>63.004306436990021</v>
      </c>
      <c r="AU371" s="221">
        <f t="shared" ref="AU371:BA372" si="311">AZ337/AV337*100-100</f>
        <v>41.707960913258916</v>
      </c>
      <c r="AV371" s="221">
        <f t="shared" si="311"/>
        <v>49.445964115165282</v>
      </c>
      <c r="AW371" s="221">
        <f t="shared" si="311"/>
        <v>67.776608538785325</v>
      </c>
      <c r="AX371" s="221">
        <f t="shared" si="311"/>
        <v>49.963499843570759</v>
      </c>
      <c r="AY371" s="221">
        <f t="shared" si="311"/>
        <v>58.697996666557742</v>
      </c>
      <c r="AZ371" s="221">
        <f t="shared" si="311"/>
        <v>39.241173915741143</v>
      </c>
      <c r="BA371" s="221">
        <f t="shared" si="311"/>
        <v>-1.0976210743246213</v>
      </c>
    </row>
    <row r="372" spans="19:53" ht="15.75" thickBot="1" x14ac:dyDescent="0.3">
      <c r="S372" s="1115"/>
      <c r="T372" s="1115"/>
      <c r="U372" s="1115"/>
      <c r="V372" s="1115"/>
      <c r="W372" s="1115"/>
      <c r="X372" s="1115"/>
      <c r="Y372" s="1115"/>
      <c r="Z372" s="1115"/>
      <c r="AA372" s="1115"/>
      <c r="AB372" s="1115"/>
      <c r="AC372" s="1115"/>
      <c r="AD372" s="1115"/>
      <c r="AK372" s="493" t="s">
        <v>333</v>
      </c>
      <c r="AL372" s="494">
        <f t="shared" si="309"/>
        <v>59.22316181740004</v>
      </c>
      <c r="AM372" s="473">
        <f t="shared" si="309"/>
        <v>45.622612053736503</v>
      </c>
      <c r="AN372" s="473">
        <f t="shared" si="309"/>
        <v>23.969985887860119</v>
      </c>
      <c r="AO372" s="473">
        <f t="shared" si="309"/>
        <v>46.847345132743357</v>
      </c>
      <c r="AP372" s="473">
        <f>AU338/AP338*100-100</f>
        <v>-2.5024754703393626</v>
      </c>
      <c r="AQ372" s="473">
        <f t="shared" si="310"/>
        <v>-11.369406985273372</v>
      </c>
      <c r="AR372" s="473">
        <f t="shared" si="310"/>
        <v>0.39425826692951205</v>
      </c>
      <c r="AS372" s="473">
        <f t="shared" si="310"/>
        <v>2.857142857142847</v>
      </c>
      <c r="AT372" s="475">
        <f>AY338/AU338*100-100</f>
        <v>20.419782722432529</v>
      </c>
      <c r="AU372" s="475">
        <f t="shared" si="311"/>
        <v>32.200152788388095</v>
      </c>
      <c r="AV372" s="475">
        <f t="shared" si="311"/>
        <v>21.062529384109069</v>
      </c>
      <c r="AW372" s="475">
        <f t="shared" si="311"/>
        <v>11.809478970495917</v>
      </c>
      <c r="AX372" s="475">
        <f t="shared" si="311"/>
        <v>10.634328358208947</v>
      </c>
      <c r="AY372" s="475">
        <f t="shared" si="311"/>
        <v>6.2987575845131545</v>
      </c>
      <c r="AZ372" s="475">
        <f t="shared" si="311"/>
        <v>-2.25699600228441</v>
      </c>
      <c r="BA372" s="475">
        <f t="shared" si="311"/>
        <v>-8.9339602779142382</v>
      </c>
    </row>
    <row r="373" spans="19:53" ht="15.75" thickBot="1" x14ac:dyDescent="0.3">
      <c r="AK373" s="431" t="s">
        <v>362</v>
      </c>
      <c r="AL373" s="496">
        <f t="shared" ref="AL373:AO373" si="312">AP341/AL341*100-100</f>
        <v>55.443825102938291</v>
      </c>
      <c r="AM373" s="497">
        <f t="shared" si="312"/>
        <v>48.689508837074726</v>
      </c>
      <c r="AN373" s="497">
        <f t="shared" si="312"/>
        <v>31.081562886684424</v>
      </c>
      <c r="AO373" s="497">
        <f t="shared" si="312"/>
        <v>27.47495515989327</v>
      </c>
      <c r="AP373" s="497">
        <f>AU341/AP341*100-100</f>
        <v>-9.6477160104513899</v>
      </c>
      <c r="AQ373" s="497">
        <f t="shared" ref="AQ373:AS373" si="313">AV341/AQ341*100-100</f>
        <v>-14.038530146271853</v>
      </c>
      <c r="AR373" s="497">
        <f t="shared" si="313"/>
        <v>-7.6366778131549893</v>
      </c>
      <c r="AS373" s="497">
        <f t="shared" si="313"/>
        <v>11.257914514662232</v>
      </c>
      <c r="AT373" s="498">
        <f>AY341/AU341*100-100</f>
        <v>35.408149019764267</v>
      </c>
      <c r="AU373" s="498">
        <f t="shared" ref="AU373:BA373" si="314">AZ341/AV341*100-100</f>
        <v>36.073119658925833</v>
      </c>
      <c r="AV373" s="498">
        <f t="shared" si="314"/>
        <v>31.667475055432362</v>
      </c>
      <c r="AW373" s="498">
        <f t="shared" si="314"/>
        <v>34.776372609500299</v>
      </c>
      <c r="AX373" s="498">
        <f t="shared" si="314"/>
        <v>27.298033728551445</v>
      </c>
      <c r="AY373" s="498">
        <f t="shared" si="314"/>
        <v>28.527262896674102</v>
      </c>
      <c r="AZ373" s="498">
        <f t="shared" si="314"/>
        <v>15.341604283703234</v>
      </c>
      <c r="BA373" s="498">
        <f t="shared" si="314"/>
        <v>-4.930826534231997</v>
      </c>
    </row>
    <row r="374" spans="19:53" ht="15.75" thickBot="1" x14ac:dyDescent="0.3">
      <c r="AK374" s="157" t="s">
        <v>258</v>
      </c>
      <c r="AL374" s="217" t="s">
        <v>235</v>
      </c>
      <c r="AM374" s="217" t="s">
        <v>236</v>
      </c>
      <c r="AN374" s="217" t="s">
        <v>237</v>
      </c>
      <c r="AO374" s="217" t="s">
        <v>238</v>
      </c>
      <c r="AP374" s="217" t="s">
        <v>239</v>
      </c>
      <c r="AQ374" s="217" t="s">
        <v>240</v>
      </c>
      <c r="AR374" s="217" t="s">
        <v>241</v>
      </c>
      <c r="AS374" s="3" t="s">
        <v>242</v>
      </c>
      <c r="AT374" s="3" t="s">
        <v>243</v>
      </c>
      <c r="AU374" s="3" t="s">
        <v>244</v>
      </c>
      <c r="AV374" s="3" t="s">
        <v>245</v>
      </c>
      <c r="AW374" s="3" t="s">
        <v>246</v>
      </c>
      <c r="AX374" s="3" t="s">
        <v>247</v>
      </c>
      <c r="AY374" s="3" t="s">
        <v>248</v>
      </c>
      <c r="AZ374" s="3" t="s">
        <v>249</v>
      </c>
      <c r="BA374" s="3" t="s">
        <v>250</v>
      </c>
    </row>
    <row r="375" spans="19:53" x14ac:dyDescent="0.25">
      <c r="AK375" s="24" t="s">
        <v>332</v>
      </c>
      <c r="AL375" s="231">
        <f t="shared" ref="AL375:AO376" si="315">AP354/AL354*100-100</f>
        <v>36.156351791530938</v>
      </c>
      <c r="AM375" s="232">
        <f t="shared" si="315"/>
        <v>18.958031837916067</v>
      </c>
      <c r="AN375" s="232">
        <f t="shared" si="315"/>
        <v>33.053221288515402</v>
      </c>
      <c r="AO375" s="232">
        <f t="shared" si="315"/>
        <v>14.946236559139777</v>
      </c>
      <c r="AP375" s="232">
        <f>AU354/AP354*100-100</f>
        <v>1.4354066985645915</v>
      </c>
      <c r="AQ375" s="232">
        <f t="shared" ref="AQ375:AS376" si="316">AV354/AQ354*100-100</f>
        <v>-3.649635036496349</v>
      </c>
      <c r="AR375" s="232">
        <f t="shared" si="316"/>
        <v>-21.78947368421052</v>
      </c>
      <c r="AS375" s="232">
        <f t="shared" si="316"/>
        <v>-4.5837231057062695</v>
      </c>
      <c r="AT375" s="205">
        <f>AY354/AU354*100-100</f>
        <v>11.084905660377359</v>
      </c>
      <c r="AU375" s="205">
        <f t="shared" ref="AU375:BA376" si="317">AZ354/AV354*100-100</f>
        <v>35.22727272727272</v>
      </c>
      <c r="AV375" s="205">
        <f t="shared" si="317"/>
        <v>35.93539703903096</v>
      </c>
      <c r="AW375" s="205">
        <f t="shared" si="317"/>
        <v>35.784313725490193</v>
      </c>
      <c r="AX375" s="205">
        <f t="shared" si="317"/>
        <v>27.282377919320595</v>
      </c>
      <c r="AY375" s="205">
        <f t="shared" si="317"/>
        <v>10.550887021475262</v>
      </c>
      <c r="AZ375" s="205">
        <f t="shared" si="317"/>
        <v>29.900990099009903</v>
      </c>
      <c r="BA375" s="205">
        <f t="shared" si="317"/>
        <v>9.8916967509025397</v>
      </c>
    </row>
    <row r="376" spans="19:53" ht="15.75" thickBot="1" x14ac:dyDescent="0.3">
      <c r="AK376" s="493" t="s">
        <v>333</v>
      </c>
      <c r="AL376" s="480">
        <f t="shared" si="315"/>
        <v>4.543290314496943</v>
      </c>
      <c r="AM376" s="481">
        <f t="shared" si="315"/>
        <v>5.9729964077790214</v>
      </c>
      <c r="AN376" s="481">
        <f t="shared" si="315"/>
        <v>1.7951990776958979</v>
      </c>
      <c r="AO376" s="481">
        <f t="shared" si="315"/>
        <v>14.636965430282658</v>
      </c>
      <c r="AP376" s="481">
        <f>AU355/AP355*100-100</f>
        <v>21.793949853780134</v>
      </c>
      <c r="AQ376" s="481">
        <f t="shared" si="316"/>
        <v>26.923976061342799</v>
      </c>
      <c r="AR376" s="481">
        <f t="shared" si="316"/>
        <v>29.458399061602535</v>
      </c>
      <c r="AS376" s="481">
        <f>AX355/AS355*100-100</f>
        <v>28.036663611365725</v>
      </c>
      <c r="AT376" s="463">
        <f>AY355/AU355*100-100</f>
        <v>51.570556976973023</v>
      </c>
      <c r="AU376" s="463">
        <f t="shared" si="317"/>
        <v>36.417217689204875</v>
      </c>
      <c r="AV376" s="463">
        <f t="shared" si="317"/>
        <v>9.6825595200899812</v>
      </c>
      <c r="AW376" s="463">
        <f t="shared" si="317"/>
        <v>2.3924746578088332</v>
      </c>
      <c r="AX376" s="463">
        <f t="shared" si="317"/>
        <v>-2.2632542557749957</v>
      </c>
      <c r="AY376" s="463">
        <f t="shared" si="317"/>
        <v>-9.7724971308985431</v>
      </c>
      <c r="AZ376" s="463">
        <f t="shared" si="317"/>
        <v>-15.863837060247832</v>
      </c>
      <c r="BA376" s="463">
        <f t="shared" si="317"/>
        <v>-22.957421519960846</v>
      </c>
    </row>
    <row r="377" spans="19:53" ht="15.75" thickBot="1" x14ac:dyDescent="0.3">
      <c r="AK377" s="431" t="s">
        <v>363</v>
      </c>
      <c r="AL377" s="620">
        <f>AP358/AL358*100-100</f>
        <v>5.0223352007700015</v>
      </c>
      <c r="AM377" s="504">
        <f t="shared" ref="AM377:AO377" si="318">AQ358/AM358*100-100</f>
        <v>6.1915432579890961</v>
      </c>
      <c r="AN377" s="504">
        <f t="shared" si="318"/>
        <v>2.2480116864145572</v>
      </c>
      <c r="AO377" s="504">
        <f t="shared" si="318"/>
        <v>14.642893950324634</v>
      </c>
      <c r="AP377" s="504">
        <f>AU358/AP358*100-100</f>
        <v>21.393993514123238</v>
      </c>
      <c r="AQ377" s="504">
        <f t="shared" ref="AQ377:AS377" si="319">AV358/AQ358*100-100</f>
        <v>26.347538877930177</v>
      </c>
      <c r="AR377" s="504">
        <f t="shared" si="319"/>
        <v>28.492340661957286</v>
      </c>
      <c r="AS377" s="504">
        <f t="shared" si="319"/>
        <v>27.409698124741539</v>
      </c>
      <c r="AT377" s="505">
        <f>AY358/AU358*100-100</f>
        <v>50.905958418831545</v>
      </c>
      <c r="AU377" s="505">
        <f t="shared" ref="AU377:BA377" si="320">AZ358/AV358*100-100</f>
        <v>36.400108922574191</v>
      </c>
      <c r="AV377" s="505">
        <f t="shared" si="320"/>
        <v>9.9837850359045603</v>
      </c>
      <c r="AW377" s="505">
        <f t="shared" si="320"/>
        <v>2.8731090539625228</v>
      </c>
      <c r="AX377" s="505">
        <f t="shared" si="320"/>
        <v>-1.906227952023599</v>
      </c>
      <c r="AY377" s="505">
        <f t="shared" si="320"/>
        <v>-9.4828045144804207</v>
      </c>
      <c r="AZ377" s="505">
        <f t="shared" si="320"/>
        <v>-15.214827295703458</v>
      </c>
      <c r="BA377" s="505">
        <f t="shared" si="320"/>
        <v>-22.333333333333343</v>
      </c>
    </row>
    <row r="378" spans="19:53" ht="15.75" thickBot="1" x14ac:dyDescent="0.3"/>
    <row r="379" spans="19:53" ht="15.75" thickBot="1" x14ac:dyDescent="0.3">
      <c r="AK379" s="1109" t="s">
        <v>468</v>
      </c>
      <c r="AL379" s="1110"/>
      <c r="AM379" s="1110"/>
      <c r="AN379" s="1110"/>
      <c r="AO379" s="1110"/>
      <c r="AP379" s="1110"/>
      <c r="AQ379" s="1110"/>
      <c r="AR379" s="1110"/>
      <c r="AS379" s="1110"/>
      <c r="AT379" s="1110"/>
      <c r="AU379" s="1110"/>
      <c r="AV379" s="1110"/>
      <c r="AW379" s="1110"/>
      <c r="AX379" s="1110"/>
      <c r="AY379" s="1110"/>
      <c r="AZ379" s="1110"/>
      <c r="BA379" s="1111"/>
    </row>
    <row r="380" spans="19:53" ht="15.75" thickBot="1" x14ac:dyDescent="0.3">
      <c r="AK380" s="416" t="s">
        <v>469</v>
      </c>
      <c r="AL380" s="217" t="s">
        <v>269</v>
      </c>
      <c r="AM380" s="217" t="s">
        <v>270</v>
      </c>
      <c r="AN380" s="217" t="s">
        <v>271</v>
      </c>
      <c r="AO380" s="217" t="s">
        <v>272</v>
      </c>
      <c r="AP380" s="217" t="s">
        <v>273</v>
      </c>
      <c r="AQ380" s="217" t="s">
        <v>274</v>
      </c>
      <c r="AR380" s="217" t="s">
        <v>275</v>
      </c>
      <c r="AS380" s="217" t="s">
        <v>276</v>
      </c>
      <c r="AT380" s="218" t="s">
        <v>277</v>
      </c>
      <c r="AU380" s="218" t="s">
        <v>278</v>
      </c>
      <c r="AV380" s="218" t="s">
        <v>279</v>
      </c>
      <c r="AW380" s="218" t="s">
        <v>280</v>
      </c>
      <c r="AX380" s="218" t="s">
        <v>340</v>
      </c>
      <c r="AY380" s="218" t="s">
        <v>281</v>
      </c>
      <c r="AZ380" s="218" t="s">
        <v>282</v>
      </c>
      <c r="BA380" s="218" t="s">
        <v>283</v>
      </c>
    </row>
    <row r="381" spans="19:53" x14ac:dyDescent="0.25">
      <c r="AK381" s="24" t="s">
        <v>342</v>
      </c>
      <c r="AL381" s="245">
        <f t="shared" ref="AL381:AO382" si="321">AP337/AO337*100-100</f>
        <v>8.6347152798196731</v>
      </c>
      <c r="AM381" s="220">
        <f t="shared" si="321"/>
        <v>18.278599783471662</v>
      </c>
      <c r="AN381" s="220">
        <f t="shared" si="321"/>
        <v>1.0068649885583483</v>
      </c>
      <c r="AO381" s="220">
        <f t="shared" si="321"/>
        <v>-20.29527261742939</v>
      </c>
      <c r="AP381" s="220">
        <f>AU337/AS337*100-100</f>
        <v>-16.395850111326922</v>
      </c>
      <c r="AQ381" s="220">
        <f>AV337/AU337*100-100</f>
        <v>22.353807796917494</v>
      </c>
      <c r="AR381" s="220">
        <f t="shared" ref="AR381:BA382" si="322">AW337/AV337*100-100</f>
        <v>-0.11114713101467544</v>
      </c>
      <c r="AS381" s="220">
        <f t="shared" si="322"/>
        <v>23.362232834160153</v>
      </c>
      <c r="AT381" s="220">
        <f t="shared" si="322"/>
        <v>8.1141010222489456</v>
      </c>
      <c r="AU381" s="220">
        <f t="shared" si="322"/>
        <v>6.3684082455591522</v>
      </c>
      <c r="AV381" s="220">
        <f t="shared" si="322"/>
        <v>5.3433118729370221</v>
      </c>
      <c r="AW381" s="220">
        <f t="shared" si="322"/>
        <v>38.493516163057649</v>
      </c>
      <c r="AX381" s="220">
        <f t="shared" si="322"/>
        <v>-3.3645445992563054</v>
      </c>
      <c r="AY381" s="220">
        <f t="shared" si="322"/>
        <v>12.563745943439969</v>
      </c>
      <c r="AZ381" s="220">
        <f t="shared" si="322"/>
        <v>-7.5720757825370697</v>
      </c>
      <c r="BA381" s="220">
        <f t="shared" si="322"/>
        <v>-1.6286790098700976</v>
      </c>
    </row>
    <row r="382" spans="19:53" ht="15.75" thickBot="1" x14ac:dyDescent="0.3">
      <c r="AK382" s="493" t="s">
        <v>343</v>
      </c>
      <c r="AL382" s="365">
        <f t="shared" si="321"/>
        <v>31.664823008849567</v>
      </c>
      <c r="AM382" s="292">
        <f t="shared" si="321"/>
        <v>6.3582080595313073</v>
      </c>
      <c r="AN382" s="292">
        <f t="shared" si="321"/>
        <v>1.6109010889804125</v>
      </c>
      <c r="AO382" s="292">
        <f t="shared" si="321"/>
        <v>3.2012660688008481</v>
      </c>
      <c r="AP382" s="292">
        <f>AU338/AS338*100-100</f>
        <v>-12.582728006456819</v>
      </c>
      <c r="AQ382" s="292">
        <f>AV338/AU338*100-100</f>
        <v>-3.3145600590896578</v>
      </c>
      <c r="AR382" s="292">
        <f t="shared" si="322"/>
        <v>15.097402597402592</v>
      </c>
      <c r="AS382" s="292">
        <f t="shared" si="322"/>
        <v>5.7330125280013391</v>
      </c>
      <c r="AT382" s="292">
        <f t="shared" si="322"/>
        <v>2.3435865243774998</v>
      </c>
      <c r="AU382" s="292">
        <f t="shared" si="322"/>
        <v>6.143937845021469</v>
      </c>
      <c r="AV382" s="292">
        <f t="shared" si="322"/>
        <v>5.4006549166907547</v>
      </c>
      <c r="AW382" s="292">
        <f t="shared" si="322"/>
        <v>-2.348372358652199</v>
      </c>
      <c r="AX382" s="292">
        <f t="shared" si="322"/>
        <v>1.2679252345193675</v>
      </c>
      <c r="AY382" s="292">
        <f t="shared" si="322"/>
        <v>1.9843378225415336</v>
      </c>
      <c r="AZ382" s="292">
        <f t="shared" si="322"/>
        <v>-3.0828123584307292</v>
      </c>
      <c r="BA382" s="292">
        <f t="shared" si="322"/>
        <v>-9.0190945848037956</v>
      </c>
    </row>
    <row r="383" spans="19:53" ht="15.75" thickBot="1" x14ac:dyDescent="0.3">
      <c r="AK383" s="431" t="s">
        <v>362</v>
      </c>
      <c r="AL383" s="432">
        <f t="shared" ref="AL383:AO383" si="323">AP341/AO341*100-100</f>
        <v>21.385449932192998</v>
      </c>
      <c r="AM383" s="432">
        <f t="shared" si="323"/>
        <v>11.119920713577784</v>
      </c>
      <c r="AN383" s="432">
        <f t="shared" si="323"/>
        <v>1.3540686926345273</v>
      </c>
      <c r="AO383" s="432">
        <f t="shared" si="323"/>
        <v>-6.7550919185293026</v>
      </c>
      <c r="AP383" s="432">
        <f>AU341/AS341*100-100</f>
        <v>-13.963863484273915</v>
      </c>
      <c r="AQ383" s="432">
        <f>AV341/AU341*100-100</f>
        <v>5.7198699666939206</v>
      </c>
      <c r="AR383" s="432">
        <f t="shared" ref="AR383:BA383" si="324">AW341/AV341*100-100</f>
        <v>8.9022618800580915</v>
      </c>
      <c r="AS383" s="432">
        <f t="shared" si="324"/>
        <v>12.319844789356992</v>
      </c>
      <c r="AT383" s="432">
        <f t="shared" si="324"/>
        <v>4.7115977791486614</v>
      </c>
      <c r="AU383" s="432">
        <f t="shared" si="324"/>
        <v>6.2390455850946296</v>
      </c>
      <c r="AV383" s="432">
        <f t="shared" si="324"/>
        <v>5.37632917885513</v>
      </c>
      <c r="AW383" s="432">
        <f t="shared" si="324"/>
        <v>14.971911221039619</v>
      </c>
      <c r="AX383" s="432">
        <f t="shared" si="324"/>
        <v>-1.0985364290700232</v>
      </c>
      <c r="AY383" s="432">
        <f t="shared" si="324"/>
        <v>7.264922653276102</v>
      </c>
      <c r="AZ383" s="432">
        <f t="shared" si="324"/>
        <v>-5.4342667299477938</v>
      </c>
      <c r="BA383" s="432">
        <f t="shared" si="324"/>
        <v>-5.2355423748146563</v>
      </c>
    </row>
    <row r="384" spans="19:53" ht="15.75" thickBot="1" x14ac:dyDescent="0.3">
      <c r="AK384" s="157" t="s">
        <v>289</v>
      </c>
      <c r="AL384" s="257" t="s">
        <v>269</v>
      </c>
      <c r="AM384" s="257" t="s">
        <v>270</v>
      </c>
      <c r="AN384" s="257" t="s">
        <v>271</v>
      </c>
      <c r="AO384" s="257" t="s">
        <v>272</v>
      </c>
      <c r="AP384" s="257" t="s">
        <v>273</v>
      </c>
      <c r="AQ384" s="257" t="s">
        <v>274</v>
      </c>
      <c r="AR384" s="257" t="s">
        <v>275</v>
      </c>
      <c r="AS384" s="257" t="s">
        <v>276</v>
      </c>
      <c r="AT384" s="3" t="s">
        <v>277</v>
      </c>
      <c r="AU384" s="3" t="s">
        <v>278</v>
      </c>
      <c r="AV384" s="3" t="s">
        <v>279</v>
      </c>
      <c r="AW384" s="3" t="s">
        <v>280</v>
      </c>
      <c r="AX384" s="3" t="s">
        <v>340</v>
      </c>
      <c r="AY384" s="3" t="s">
        <v>281</v>
      </c>
      <c r="AZ384" s="3" t="s">
        <v>282</v>
      </c>
      <c r="BA384" s="3" t="s">
        <v>283</v>
      </c>
    </row>
    <row r="385" spans="37:58" x14ac:dyDescent="0.25">
      <c r="AK385" s="24" t="s">
        <v>342</v>
      </c>
      <c r="AL385" s="245">
        <f t="shared" ref="AL385:AO386" si="325">AP354/AO354*100-100</f>
        <v>-10.107526881720432</v>
      </c>
      <c r="AM385" s="220">
        <f t="shared" si="325"/>
        <v>-1.6746411483253638</v>
      </c>
      <c r="AN385" s="220">
        <f t="shared" si="325"/>
        <v>15.571776155717771</v>
      </c>
      <c r="AO385" s="220">
        <f t="shared" si="325"/>
        <v>12.526315789473671</v>
      </c>
      <c r="AP385" s="220">
        <f>AU354/AS354*100-100</f>
        <v>-20.673526660430312</v>
      </c>
      <c r="AQ385" s="220">
        <f>AV354/AU354*100-100</f>
        <v>-6.6037735849056531</v>
      </c>
      <c r="AR385" s="220">
        <f t="shared" ref="AR385:BA386" si="326">AW354/AV354*100-100</f>
        <v>-6.186868686868678</v>
      </c>
      <c r="AS385" s="220">
        <f t="shared" si="326"/>
        <v>37.281292059219368</v>
      </c>
      <c r="AT385" s="220">
        <f t="shared" si="326"/>
        <v>-7.6470588235294059</v>
      </c>
      <c r="AU385" s="220">
        <f>AZ354/AY354*100-100</f>
        <v>13.69426751592357</v>
      </c>
      <c r="AV385" s="220">
        <f t="shared" si="326"/>
        <v>-5.6956115779645273</v>
      </c>
      <c r="AW385" s="220">
        <f t="shared" si="326"/>
        <v>37.128712871287149</v>
      </c>
      <c r="AX385" s="220">
        <f t="shared" si="326"/>
        <v>-13.429602888086649</v>
      </c>
      <c r="AY385" s="220">
        <f t="shared" si="326"/>
        <v>-1.2510425354462029</v>
      </c>
      <c r="AZ385" s="220">
        <f t="shared" si="326"/>
        <v>10.810810810810807</v>
      </c>
      <c r="BA385" s="220">
        <f t="shared" si="326"/>
        <v>16.006097560975618</v>
      </c>
    </row>
    <row r="386" spans="37:58" ht="15.75" thickBot="1" x14ac:dyDescent="0.3">
      <c r="AK386" s="493" t="s">
        <v>343</v>
      </c>
      <c r="AL386" s="365">
        <f t="shared" si="325"/>
        <v>-12.329515603656617</v>
      </c>
      <c r="AM386" s="292">
        <f t="shared" si="325"/>
        <v>2.5360755549163514</v>
      </c>
      <c r="AN386" s="292">
        <f t="shared" si="325"/>
        <v>15.592855806994564</v>
      </c>
      <c r="AO386" s="292">
        <f t="shared" si="325"/>
        <v>10.322371880435227</v>
      </c>
      <c r="AP386" s="292">
        <f>AU355/AS355*100-100</f>
        <v>-6.8560953253895605</v>
      </c>
      <c r="AQ386" s="292">
        <f>AV355/AU355*100-100</f>
        <v>6.8549498130289237</v>
      </c>
      <c r="AR386" s="292">
        <f t="shared" si="326"/>
        <v>17.901018547510745</v>
      </c>
      <c r="AS386" s="292">
        <f t="shared" si="326"/>
        <v>9.1107917265512697</v>
      </c>
      <c r="AT386" s="292">
        <f t="shared" si="326"/>
        <v>10.26430330450718</v>
      </c>
      <c r="AU386" s="292">
        <f t="shared" si="326"/>
        <v>-3.827925155493233</v>
      </c>
      <c r="AV386" s="292">
        <f t="shared" si="326"/>
        <v>-5.2048875987308492</v>
      </c>
      <c r="AW386" s="292">
        <f t="shared" si="326"/>
        <v>1.8587095855291125</v>
      </c>
      <c r="AX386" s="292">
        <f t="shared" si="326"/>
        <v>5.2506467174718665</v>
      </c>
      <c r="AY386" s="292">
        <f t="shared" si="326"/>
        <v>-11.216952305035207</v>
      </c>
      <c r="AZ386" s="292">
        <f t="shared" si="326"/>
        <v>-11.604590958744225</v>
      </c>
      <c r="BA386" s="292">
        <f t="shared" si="326"/>
        <v>-6.7290763813651182</v>
      </c>
    </row>
    <row r="387" spans="37:58" ht="15.75" thickBot="1" x14ac:dyDescent="0.3">
      <c r="AK387" s="431" t="s">
        <v>363</v>
      </c>
      <c r="AL387" s="432">
        <f>AP358/AO358*100-100</f>
        <v>-12.286921570648261</v>
      </c>
      <c r="AM387" s="432">
        <f t="shared" ref="AM387:AO387" si="327">AQ358/AP358*100-100</f>
        <v>2.4533533862856558</v>
      </c>
      <c r="AN387" s="432">
        <f t="shared" si="327"/>
        <v>15.592458369649975</v>
      </c>
      <c r="AO387" s="432">
        <f t="shared" si="327"/>
        <v>10.363917771251693</v>
      </c>
      <c r="AP387" s="432">
        <f>AU358/AS358*100-100</f>
        <v>-7.1216670562217956</v>
      </c>
      <c r="AQ387" s="432">
        <f>AV358/AU358*100-100</f>
        <v>6.6340160284950969</v>
      </c>
      <c r="AR387" s="432">
        <f t="shared" ref="AR387:BA387" si="328">AW358/AV358*100-100</f>
        <v>17.554688209131356</v>
      </c>
      <c r="AS387" s="432">
        <f t="shared" si="328"/>
        <v>9.4340205389545275</v>
      </c>
      <c r="AT387" s="432">
        <f t="shared" si="328"/>
        <v>10.006491307292848</v>
      </c>
      <c r="AU387" s="432">
        <f t="shared" si="328"/>
        <v>-3.6161888268873099</v>
      </c>
      <c r="AV387" s="432">
        <f t="shared" si="328"/>
        <v>-5.2118824531516168</v>
      </c>
      <c r="AW387" s="432">
        <f t="shared" si="328"/>
        <v>2.3588879528222435</v>
      </c>
      <c r="AX387" s="432">
        <f t="shared" si="328"/>
        <v>4.8957475994513118</v>
      </c>
      <c r="AY387" s="432">
        <f t="shared" si="328"/>
        <v>-11.060691260510794</v>
      </c>
      <c r="AZ387" s="432">
        <f t="shared" si="328"/>
        <v>-11.214362382555763</v>
      </c>
      <c r="BA387" s="432">
        <f t="shared" si="328"/>
        <v>-6.2350953895071513</v>
      </c>
    </row>
    <row r="389" spans="37:58" ht="15.75" thickBot="1" x14ac:dyDescent="0.3"/>
    <row r="390" spans="37:58" ht="19.5" thickBot="1" x14ac:dyDescent="0.35">
      <c r="AK390" s="1112" t="s">
        <v>470</v>
      </c>
      <c r="AL390" s="1113"/>
      <c r="AM390" s="1113"/>
      <c r="AN390" s="1113"/>
      <c r="AO390" s="1113"/>
      <c r="AP390" s="1113"/>
      <c r="AQ390" s="1113"/>
      <c r="AR390" s="1113"/>
      <c r="AS390" s="1113"/>
      <c r="AT390" s="1113"/>
      <c r="AU390" s="1113"/>
      <c r="AV390" s="1113"/>
      <c r="AW390" s="1113"/>
      <c r="AX390" s="1113"/>
      <c r="AY390" s="1113"/>
      <c r="AZ390" s="1113"/>
      <c r="BA390" s="1113"/>
      <c r="BB390" s="1113"/>
      <c r="BC390" s="1113"/>
      <c r="BD390" s="1113"/>
      <c r="BE390" s="1113"/>
      <c r="BF390" s="1114"/>
    </row>
    <row r="391" spans="37:58" ht="15.75" thickBot="1" x14ac:dyDescent="0.3"/>
    <row r="392" spans="37:58" ht="15.75" thickBot="1" x14ac:dyDescent="0.3">
      <c r="AK392" s="67" t="s">
        <v>471</v>
      </c>
      <c r="AL392" s="77" t="s">
        <v>0</v>
      </c>
      <c r="AM392" s="31" t="s">
        <v>1</v>
      </c>
      <c r="AN392" s="31" t="s">
        <v>2</v>
      </c>
      <c r="AO392" s="31" t="s">
        <v>3</v>
      </c>
      <c r="AP392" s="31" t="s">
        <v>4</v>
      </c>
      <c r="AQ392" s="31" t="s">
        <v>5</v>
      </c>
      <c r="AR392" s="31" t="s">
        <v>6</v>
      </c>
      <c r="AS392" s="31" t="s">
        <v>7</v>
      </c>
      <c r="AT392" s="31" t="s">
        <v>27</v>
      </c>
      <c r="AU392" s="31" t="s">
        <v>9</v>
      </c>
      <c r="AV392" s="31" t="s">
        <v>10</v>
      </c>
      <c r="AW392" s="31" t="s">
        <v>11</v>
      </c>
      <c r="AX392" s="31" t="s">
        <v>12</v>
      </c>
      <c r="AY392" s="31" t="s">
        <v>13</v>
      </c>
      <c r="AZ392" s="31" t="s">
        <v>14</v>
      </c>
      <c r="BA392" s="31" t="s">
        <v>15</v>
      </c>
      <c r="BB392" s="31" t="s">
        <v>16</v>
      </c>
      <c r="BC392" s="31" t="s">
        <v>17</v>
      </c>
      <c r="BD392" s="31" t="s">
        <v>18</v>
      </c>
      <c r="BE392" s="526" t="s">
        <v>300</v>
      </c>
      <c r="BF392" s="509" t="s">
        <v>203</v>
      </c>
    </row>
    <row r="393" spans="37:58" x14ac:dyDescent="0.25">
      <c r="AK393" s="279" t="s">
        <v>34</v>
      </c>
      <c r="AL393" s="539">
        <f>'[16]2016. I. - Állományi'!$E$14+'[16]2016. I. - Állományi'!$J$14</f>
        <v>4827.0472249999993</v>
      </c>
      <c r="AM393" s="359">
        <f>'[16]2016. II. - Állományi'!$E$37+'[16]2016. II. - Állományi'!$J$37</f>
        <v>3649.6759109999994</v>
      </c>
      <c r="AN393" s="359">
        <f>'[16]2016. III. - Állományi'!$E$37+'[16]2016. III. - Állományi'!$J$37</f>
        <v>6658.6495830000003</v>
      </c>
      <c r="AO393" s="359">
        <f>'[16]2016. IV.- Állományi'!$E$37+'[16]2016. IV.- Állományi'!$J$37</f>
        <v>4567.4303439999994</v>
      </c>
      <c r="AP393" s="359">
        <f>'[16]2017. I. - Állományi'!$E$37+'[16]2017. I. - Állományi'!$J$37</f>
        <v>4723.2171371799996</v>
      </c>
      <c r="AQ393" s="359">
        <f>'[16]2017. II. - Állományi'!$E$37+'[16]2017. II. - Állományi'!$J$37</f>
        <v>4017.3921463199999</v>
      </c>
      <c r="AR393" s="359">
        <f>'[15]2017. III. - Állományi'!E37+'[15]2017. III. - Állományi'!J37</f>
        <v>13750.74557426</v>
      </c>
      <c r="AS393" s="359">
        <f>'[15]2017. IV. - Állományi'!E37+'[15]2017. IV. - Állományi'!J37</f>
        <v>13104.334237589999</v>
      </c>
      <c r="AT393" s="359">
        <f>'[15]2018. I. - Állományi_R'!E38+'[15]2018. I. - Állományi_R'!J38</f>
        <v>6480</v>
      </c>
      <c r="AU393" s="359">
        <f>'[15]2018. I. - Állományi_Új'!E14+'[15]2018. I. - Állományi_Új'!J14</f>
        <v>6482</v>
      </c>
      <c r="AV393" s="359">
        <f>'[15]2018. II. - Állományi_Új'!E14+'[15]2018. II. - Állományi_Új'!J14</f>
        <v>6259</v>
      </c>
      <c r="AW393" s="360">
        <f>'[15]2018. III. - Állományi_Új'!E14+'[15]2018. III. - Állományi_Új'!J14</f>
        <v>11604</v>
      </c>
      <c r="AX393" s="359">
        <f>'[15]2018. IV. - Állományi_Új'!E14+'[15]2018. IV. - Állományi_Új'!J14</f>
        <v>11947</v>
      </c>
      <c r="AY393" s="359">
        <f>'[15]2019. I. Állomány adatok_Korr'!F19+'[15]2019. I. Állomány adatok_Korr'!L19</f>
        <v>9148</v>
      </c>
      <c r="AZ393" s="359">
        <f>'[15]2019. II. Állomány adatok'!F17+'[15]2019. II. Állomány adatok'!L17</f>
        <v>6807</v>
      </c>
      <c r="BA393" s="359">
        <f>'[15]2019. III. Állomány adatok'!F17+'[15]2019. III. Állomány adatok'!L17</f>
        <v>12593</v>
      </c>
      <c r="BB393" s="359">
        <f>'[15]2019. IV. Állomány adatok'!F17+'[15]2019. IV. Állomány adatok'!L17</f>
        <v>11133</v>
      </c>
      <c r="BC393" s="359">
        <f>'[15]2020. I. Állomány adatok'!H18+'[15]2020. I. Állomány adatok'!M18</f>
        <v>21951</v>
      </c>
      <c r="BD393" s="359">
        <f>'[15]2020. II. Állományi adatok'!H18+'[15]2020. II. Állományi adatok'!M18</f>
        <v>23884</v>
      </c>
      <c r="BE393" s="539">
        <f>'[15]2020. III. Állományi adatok'!H18+'[15]2020. III. Állományi adatok'!M18</f>
        <v>24163</v>
      </c>
      <c r="BF393" s="443">
        <f>'[15]2020. IV. Állományi adatok'!H18+'[15]2020. IV. Állományi adatok'!M18</f>
        <v>21896</v>
      </c>
    </row>
    <row r="394" spans="37:58" ht="15.75" thickBot="1" x14ac:dyDescent="0.3">
      <c r="AK394" s="361" t="s">
        <v>35</v>
      </c>
      <c r="AL394" s="540">
        <f>'[16]2016. I. - Állományi'!$E$53+'[16]2016. I. - Állományi'!$J$53</f>
        <v>53861.345024999995</v>
      </c>
      <c r="AM394" s="282">
        <f>'[16]2016. II. - Állományi'!$E$53+'[16]2016. II. - Állományi'!$J$53</f>
        <v>51971.855945999996</v>
      </c>
      <c r="AN394" s="282">
        <f>'[16]2016. III. - Állományi'!$E$53+'[16]2016. III. - Állományi'!$J$53</f>
        <v>57409.280448800004</v>
      </c>
      <c r="AO394" s="282">
        <f>'[16]2016. IV.- Állományi'!$E$53+'[16]2016. IV.- Állományi'!$J$53</f>
        <v>36107.641700439999</v>
      </c>
      <c r="AP394" s="282">
        <f>'[16]2017. I. - Állományi'!$E$53+'[16]2017. I. - Állományi'!$J$53</f>
        <v>39223.379359999999</v>
      </c>
      <c r="AQ394" s="282">
        <f>'[16]2017. II. - Állományi'!$E$53+'[16]2017. II. - Állományi'!$J$53</f>
        <v>33883.675801000005</v>
      </c>
      <c r="AR394" s="282">
        <f>'[15]2017. III. - Állományi'!E53+'[15]2017. III. - Állományi'!J53</f>
        <v>46591.503729999997</v>
      </c>
      <c r="AS394" s="282">
        <f>'[15]2017. IV. - Állományi'!E53+'[15]2017. IV. - Állományi'!J53</f>
        <v>48057.45218800001</v>
      </c>
      <c r="AT394" s="282">
        <f>'[15]2018. I. - Állományi_R'!E54+'[15]2018. I. - Állományi_R'!J54</f>
        <v>40561.161999999997</v>
      </c>
      <c r="AU394" s="282">
        <f>'[15]2018. I. - Állományi_Új'!E54+'[15]2018. I. - Állományi_Új'!J54</f>
        <v>40571</v>
      </c>
      <c r="AV394" s="282">
        <f>'[15]2018. II. - Állományi_Új'!E54+'[15]2018. II. - Állományi_Új'!J54</f>
        <v>44636</v>
      </c>
      <c r="AW394" s="283">
        <f>'[15]2018. III. - Állományi_Új'!E54+'[15]2018. III. - Állományi_Új'!J54</f>
        <v>52442</v>
      </c>
      <c r="AX394" s="282">
        <f>'[15]2018. IV. - Állományi_Új'!E54+'[15]2018. IV. - Állományi_Új'!J54</f>
        <v>57726</v>
      </c>
      <c r="AY394" s="282">
        <f>'[15]2019. I. Állomány adatok_Korr'!F61+'[15]2019. I. Állomány adatok_Korr'!L61</f>
        <v>54711</v>
      </c>
      <c r="AZ394" s="282">
        <f>'[15]2019. II. Állomány adatok'!F59+'[15]2019. II. Állomány adatok'!L59</f>
        <v>55236</v>
      </c>
      <c r="BA394" s="282">
        <f>'[15]2019. III. Állomány adatok'!F59+'[15]2019. III. Állomány adatok'!L59</f>
        <v>50973</v>
      </c>
      <c r="BB394" s="282">
        <f>'[15]2019. IV. Állomány adatok'!F59+'[15]2019. IV. Állomány adatok'!L59</f>
        <v>49325</v>
      </c>
      <c r="BC394" s="282">
        <f>'[15]2020. I. Állomány adatok'!H65+'[15]2020. I. Állomány adatok'!M65</f>
        <v>26869</v>
      </c>
      <c r="BD394" s="282">
        <f>'[15]2020. II. Állományi adatok'!H65+'[15]2020. II. Állományi adatok'!M65</f>
        <v>27257</v>
      </c>
      <c r="BE394" s="540">
        <f>'[15]2020. III. Állományi adatok'!H65+'[15]2020. III. Állományi adatok'!M65</f>
        <v>30194</v>
      </c>
      <c r="BF394" s="445">
        <f>'[15]2020. IV. Állományi adatok'!H65+'[15]2020. IV. Állományi adatok'!M65</f>
        <v>29020</v>
      </c>
    </row>
    <row r="395" spans="37:58" x14ac:dyDescent="0.25">
      <c r="AK395" s="510" t="s">
        <v>472</v>
      </c>
      <c r="AL395" s="245">
        <f>AL393/AL397*100</f>
        <v>8.224875550241368</v>
      </c>
      <c r="AM395" s="220">
        <f t="shared" ref="AM395:AX395" si="329">AM393/AM397*100</f>
        <v>6.5616242292339626</v>
      </c>
      <c r="AN395" s="220">
        <f t="shared" si="329"/>
        <v>10.393108657787121</v>
      </c>
      <c r="AO395" s="220">
        <f t="shared" si="329"/>
        <v>11.229065160621726</v>
      </c>
      <c r="AP395" s="220">
        <f t="shared" si="329"/>
        <v>10.747628971638527</v>
      </c>
      <c r="AQ395" s="220">
        <f t="shared" si="329"/>
        <v>10.599680599776004</v>
      </c>
      <c r="AR395" s="220">
        <f t="shared" si="329"/>
        <v>22.787923441377639</v>
      </c>
      <c r="AS395" s="220">
        <f t="shared" si="329"/>
        <v>21.425689149110863</v>
      </c>
      <c r="AT395" s="220">
        <f t="shared" si="329"/>
        <v>13.775169924586471</v>
      </c>
      <c r="AU395" s="220">
        <f t="shared" si="329"/>
        <v>13.775954774403331</v>
      </c>
      <c r="AV395" s="220">
        <f t="shared" si="329"/>
        <v>12.297868159937126</v>
      </c>
      <c r="AW395" s="288">
        <f t="shared" si="329"/>
        <v>18.11822752396715</v>
      </c>
      <c r="AX395" s="220">
        <f t="shared" si="329"/>
        <v>17.147244987297803</v>
      </c>
      <c r="AY395" s="220">
        <f>AY393/AY397*100</f>
        <v>14.325310449584242</v>
      </c>
      <c r="AZ395" s="220">
        <f>AZ393/AZ397*100</f>
        <v>10.971423045307287</v>
      </c>
      <c r="BA395" s="220">
        <f>BA393/BA397*100</f>
        <v>19.810905200893558</v>
      </c>
      <c r="BB395" s="220">
        <f>BB393/BB397*100</f>
        <v>18.414436468292035</v>
      </c>
      <c r="BC395" s="220">
        <f t="shared" ref="BC395:BF395" si="330">BC393/BC397*100</f>
        <v>44.963129864809503</v>
      </c>
      <c r="BD395" s="220">
        <f t="shared" si="330"/>
        <v>46.702254551142921</v>
      </c>
      <c r="BE395" s="220">
        <f t="shared" si="330"/>
        <v>44.452416432106261</v>
      </c>
      <c r="BF395" s="220">
        <f t="shared" si="330"/>
        <v>43.004163720637912</v>
      </c>
    </row>
    <row r="396" spans="37:58" ht="15.75" thickBot="1" x14ac:dyDescent="0.3">
      <c r="AK396" s="290" t="s">
        <v>473</v>
      </c>
      <c r="AL396" s="365">
        <f>AL394/AL397*100</f>
        <v>91.775124449758621</v>
      </c>
      <c r="AM396" s="292">
        <f t="shared" ref="AM396:AX396" si="331">AM394/AM397*100</f>
        <v>93.438375770766029</v>
      </c>
      <c r="AN396" s="292">
        <f t="shared" si="331"/>
        <v>89.606891342212876</v>
      </c>
      <c r="AO396" s="292">
        <f t="shared" si="331"/>
        <v>88.77093483937827</v>
      </c>
      <c r="AP396" s="292">
        <f t="shared" si="331"/>
        <v>89.25237102836148</v>
      </c>
      <c r="AQ396" s="292">
        <f t="shared" si="331"/>
        <v>89.400319400223992</v>
      </c>
      <c r="AR396" s="292">
        <f t="shared" si="331"/>
        <v>77.212076558622357</v>
      </c>
      <c r="AS396" s="292">
        <f t="shared" si="331"/>
        <v>78.574310850889134</v>
      </c>
      <c r="AT396" s="292">
        <f t="shared" si="331"/>
        <v>86.224830075413522</v>
      </c>
      <c r="AU396" s="292">
        <f t="shared" si="331"/>
        <v>86.224045225596669</v>
      </c>
      <c r="AV396" s="292">
        <f t="shared" si="331"/>
        <v>87.702131840062876</v>
      </c>
      <c r="AW396" s="293">
        <f t="shared" si="331"/>
        <v>81.88177247603285</v>
      </c>
      <c r="AX396" s="292">
        <f t="shared" si="331"/>
        <v>82.85275501270219</v>
      </c>
      <c r="AY396" s="292">
        <f>AY394/AY397*100</f>
        <v>85.674689550415764</v>
      </c>
      <c r="AZ396" s="292">
        <f>AZ394/AZ397*100</f>
        <v>89.028576954692724</v>
      </c>
      <c r="BA396" s="292">
        <f>BA394/BA397*100</f>
        <v>80.189094799106442</v>
      </c>
      <c r="BB396" s="292">
        <f>BB394/BB397*100</f>
        <v>81.585563531707962</v>
      </c>
      <c r="BC396" s="292">
        <f t="shared" ref="BC396:BF396" si="332">BC394/BC397*100</f>
        <v>55.036870135190497</v>
      </c>
      <c r="BD396" s="292">
        <f t="shared" si="332"/>
        <v>53.297745448857079</v>
      </c>
      <c r="BE396" s="292">
        <f t="shared" si="332"/>
        <v>55.547583567893746</v>
      </c>
      <c r="BF396" s="292">
        <f t="shared" si="332"/>
        <v>56.995836279362088</v>
      </c>
    </row>
    <row r="397" spans="37:58" x14ac:dyDescent="0.25">
      <c r="AK397" s="610" t="s">
        <v>474</v>
      </c>
      <c r="AL397" s="370">
        <f t="shared" ref="AL397:BF397" si="333">AL393+AL394</f>
        <v>58688.392249999997</v>
      </c>
      <c r="AM397" s="371">
        <f t="shared" si="333"/>
        <v>55621.531856999994</v>
      </c>
      <c r="AN397" s="371">
        <f t="shared" si="333"/>
        <v>64067.930031800002</v>
      </c>
      <c r="AO397" s="371">
        <f t="shared" si="333"/>
        <v>40675.072044439999</v>
      </c>
      <c r="AP397" s="371">
        <f t="shared" si="333"/>
        <v>43946.596497179999</v>
      </c>
      <c r="AQ397" s="371">
        <f t="shared" si="333"/>
        <v>37901.067947320007</v>
      </c>
      <c r="AR397" s="371">
        <f t="shared" si="333"/>
        <v>60342.249304259996</v>
      </c>
      <c r="AS397" s="371">
        <f t="shared" si="333"/>
        <v>61161.786425590006</v>
      </c>
      <c r="AT397" s="371">
        <f t="shared" si="333"/>
        <v>47041.161999999997</v>
      </c>
      <c r="AU397" s="371">
        <f t="shared" si="333"/>
        <v>47053</v>
      </c>
      <c r="AV397" s="371">
        <f t="shared" si="333"/>
        <v>50895</v>
      </c>
      <c r="AW397" s="372">
        <f t="shared" si="333"/>
        <v>64046</v>
      </c>
      <c r="AX397" s="371">
        <f t="shared" si="333"/>
        <v>69673</v>
      </c>
      <c r="AY397" s="371">
        <f t="shared" si="333"/>
        <v>63859</v>
      </c>
      <c r="AZ397" s="371">
        <f t="shared" si="333"/>
        <v>62043</v>
      </c>
      <c r="BA397" s="371">
        <f t="shared" si="333"/>
        <v>63566</v>
      </c>
      <c r="BB397" s="371">
        <f t="shared" si="333"/>
        <v>60458</v>
      </c>
      <c r="BC397" s="371">
        <f t="shared" si="333"/>
        <v>48820</v>
      </c>
      <c r="BD397" s="371">
        <f t="shared" si="333"/>
        <v>51141</v>
      </c>
      <c r="BE397" s="371">
        <f t="shared" si="333"/>
        <v>54357</v>
      </c>
      <c r="BF397" s="371">
        <f t="shared" si="333"/>
        <v>50916</v>
      </c>
    </row>
    <row r="398" spans="37:58" x14ac:dyDescent="0.25">
      <c r="AK398" s="448" t="s">
        <v>475</v>
      </c>
      <c r="AL398" s="248">
        <f>AL397/AL399*100</f>
        <v>13.300907507546981</v>
      </c>
      <c r="AM398" s="223">
        <f t="shared" ref="AM398:AX398" si="334">AM397/AM399*100</f>
        <v>12.135695210219708</v>
      </c>
      <c r="AN398" s="223">
        <f t="shared" si="334"/>
        <v>12.592610870799215</v>
      </c>
      <c r="AO398" s="223">
        <f t="shared" si="334"/>
        <v>7.2214952586666676</v>
      </c>
      <c r="AP398" s="223">
        <f t="shared" si="334"/>
        <v>7.2634200213506546</v>
      </c>
      <c r="AQ398" s="223">
        <f t="shared" si="334"/>
        <v>6.0887205930021855</v>
      </c>
      <c r="AR398" s="223">
        <f t="shared" si="334"/>
        <v>9.359392438355016</v>
      </c>
      <c r="AS398" s="223">
        <f t="shared" si="334"/>
        <v>10.015702122721521</v>
      </c>
      <c r="AT398" s="223">
        <f t="shared" si="334"/>
        <v>8.1054024343175364</v>
      </c>
      <c r="AU398" s="223">
        <f t="shared" si="334"/>
        <v>7.5999683422142041</v>
      </c>
      <c r="AV398" s="223">
        <f>AV397/AV399*100</f>
        <v>7.8942715151665563</v>
      </c>
      <c r="AW398" s="223">
        <f t="shared" si="334"/>
        <v>9.5962865071231231</v>
      </c>
      <c r="AX398" s="223">
        <f t="shared" si="334"/>
        <v>11.157498598766914</v>
      </c>
      <c r="AY398" s="223">
        <f>AY397/AY399*100</f>
        <v>9.3284465103233885</v>
      </c>
      <c r="AZ398" s="223">
        <f>AZ397/AZ399*100</f>
        <v>8.585923585653731</v>
      </c>
      <c r="BA398" s="223">
        <f>BA397/BA399*100</f>
        <v>8.5150103748474582</v>
      </c>
      <c r="BB398" s="223">
        <f>BB397/BB399*100</f>
        <v>8.294905585046175</v>
      </c>
      <c r="BC398" s="223">
        <f t="shared" ref="BC398:BF398" si="335">BC397/BC399*100</f>
        <v>6.6591003173548255</v>
      </c>
      <c r="BD398" s="223">
        <f t="shared" si="335"/>
        <v>6.5934873502666873</v>
      </c>
      <c r="BE398" s="223">
        <f t="shared" si="335"/>
        <v>6.6899770342418714</v>
      </c>
      <c r="BF398" s="223">
        <f t="shared" si="335"/>
        <v>6.2479522605203188</v>
      </c>
    </row>
    <row r="399" spans="37:58" ht="15.75" thickBot="1" x14ac:dyDescent="0.3">
      <c r="AK399" s="610" t="s">
        <v>36</v>
      </c>
      <c r="AL399" s="387">
        <v>441236</v>
      </c>
      <c r="AM399" s="388">
        <v>458330</v>
      </c>
      <c r="AN399" s="388">
        <v>508774</v>
      </c>
      <c r="AO399" s="388">
        <v>563250</v>
      </c>
      <c r="AP399" s="388">
        <v>605040</v>
      </c>
      <c r="AQ399" s="388">
        <v>622480</v>
      </c>
      <c r="AR399" s="388">
        <v>644724</v>
      </c>
      <c r="AS399" s="388">
        <v>610659</v>
      </c>
      <c r="AT399" s="388">
        <v>580368</v>
      </c>
      <c r="AU399" s="388">
        <v>619121</v>
      </c>
      <c r="AV399" s="388">
        <v>644708</v>
      </c>
      <c r="AW399" s="389">
        <v>667404</v>
      </c>
      <c r="AX399" s="388">
        <v>624450</v>
      </c>
      <c r="AY399" s="388">
        <v>684562</v>
      </c>
      <c r="AZ399" s="388">
        <v>722613</v>
      </c>
      <c r="BA399" s="388">
        <v>746517</v>
      </c>
      <c r="BB399" s="388">
        <v>728857</v>
      </c>
      <c r="BC399" s="388">
        <v>733132.07</v>
      </c>
      <c r="BD399" s="388">
        <v>775629</v>
      </c>
      <c r="BE399" s="388">
        <v>812514</v>
      </c>
      <c r="BF399" s="388">
        <v>814923</v>
      </c>
    </row>
    <row r="400" spans="37:58" x14ac:dyDescent="0.25">
      <c r="AK400" s="25" t="s">
        <v>476</v>
      </c>
      <c r="AL400" s="398">
        <v>0</v>
      </c>
      <c r="AM400" s="232">
        <f>AM397/AL397*100-100</f>
        <v>-5.2256677605612936</v>
      </c>
      <c r="AN400" s="232">
        <f t="shared" ref="AN400:AU400" si="336">AN397/AM397*100-100</f>
        <v>15.185482838759739</v>
      </c>
      <c r="AO400" s="232">
        <f t="shared" si="336"/>
        <v>-36.512585900229645</v>
      </c>
      <c r="AP400" s="232">
        <f t="shared" si="336"/>
        <v>8.0430698418079203</v>
      </c>
      <c r="AQ400" s="232">
        <f t="shared" si="336"/>
        <v>-13.756534138537717</v>
      </c>
      <c r="AR400" s="232">
        <f t="shared" si="336"/>
        <v>59.209891890465343</v>
      </c>
      <c r="AS400" s="232">
        <f t="shared" si="336"/>
        <v>1.3581481147606951</v>
      </c>
      <c r="AT400" s="232">
        <f t="shared" si="336"/>
        <v>-23.087331568984325</v>
      </c>
      <c r="AU400" s="232">
        <f t="shared" si="336"/>
        <v>2.5165194686309178E-2</v>
      </c>
      <c r="AV400" s="232">
        <f>AV397/AU397*100-100</f>
        <v>8.16526045098081</v>
      </c>
      <c r="AW400" s="550">
        <f>AW397/AV397*100-100</f>
        <v>25.83947342568031</v>
      </c>
      <c r="AX400" s="232">
        <f>AX397/AW397*100-100</f>
        <v>8.7858726540299301</v>
      </c>
      <c r="AY400" s="232">
        <f>AY397/AW397*100-100</f>
        <v>-0.2919776410704884</v>
      </c>
      <c r="AZ400" s="232">
        <f>AZ397/AX397*100-100</f>
        <v>-10.951157550270551</v>
      </c>
      <c r="BA400" s="232">
        <f>BA397/AZ397*100-100</f>
        <v>2.4547491256064404</v>
      </c>
      <c r="BB400" s="232">
        <f>BB397/BA397*100-100</f>
        <v>-4.8894062863795114</v>
      </c>
      <c r="BC400" s="232">
        <f t="shared" ref="BC400:BF400" si="337">BC397/BB397*100-100</f>
        <v>-19.249727083264418</v>
      </c>
      <c r="BD400" s="232">
        <f t="shared" si="337"/>
        <v>4.7541990987300267</v>
      </c>
      <c r="BE400" s="232">
        <f t="shared" si="337"/>
        <v>6.2884965096498036</v>
      </c>
      <c r="BF400" s="232">
        <f t="shared" si="337"/>
        <v>-6.3303714333020622</v>
      </c>
    </row>
    <row r="401" spans="37:58" x14ac:dyDescent="0.25">
      <c r="AK401" s="15" t="s">
        <v>312</v>
      </c>
      <c r="AL401" s="13">
        <f>AL393/AL399*100</f>
        <v>1.0939830895484501</v>
      </c>
      <c r="AM401" s="458">
        <f t="shared" ref="AM401:AX401" si="338">AM393/AM399*100</f>
        <v>0.79629871729976209</v>
      </c>
      <c r="AN401" s="458">
        <f t="shared" si="338"/>
        <v>1.3087637306544755</v>
      </c>
      <c r="AO401" s="458">
        <f t="shared" si="338"/>
        <v>0.81090640816688841</v>
      </c>
      <c r="AP401" s="458">
        <f t="shared" si="338"/>
        <v>0.78064543454647617</v>
      </c>
      <c r="AQ401" s="458">
        <f t="shared" si="338"/>
        <v>0.64538493547101916</v>
      </c>
      <c r="AR401" s="458">
        <f t="shared" si="338"/>
        <v>2.1328111834304289</v>
      </c>
      <c r="AS401" s="458">
        <f t="shared" si="338"/>
        <v>2.1459332029152112</v>
      </c>
      <c r="AT401" s="458">
        <f t="shared" si="338"/>
        <v>1.1165329583988091</v>
      </c>
      <c r="AU401" s="458">
        <f t="shared" si="338"/>
        <v>1.0469682016923993</v>
      </c>
      <c r="AV401" s="458">
        <f t="shared" si="338"/>
        <v>0.97082710312265397</v>
      </c>
      <c r="AW401" s="459">
        <f t="shared" si="338"/>
        <v>1.7386770232123272</v>
      </c>
      <c r="AX401" s="14">
        <f t="shared" si="338"/>
        <v>1.9132036191848827</v>
      </c>
      <c r="AY401" s="14">
        <f>AY393/AY399*100</f>
        <v>1.3363289227272328</v>
      </c>
      <c r="AZ401" s="14">
        <f>AZ393/AZ399*100</f>
        <v>0.94199799892888736</v>
      </c>
      <c r="BA401" s="14">
        <f>BA393/BA399*100</f>
        <v>1.6869006332072813</v>
      </c>
      <c r="BB401" s="14">
        <f>BB393/BB399*100</f>
        <v>1.5274601190631358</v>
      </c>
      <c r="BC401" s="14">
        <f t="shared" ref="BC401:BF401" si="339">BC393/BC399*100</f>
        <v>2.994139923520192</v>
      </c>
      <c r="BD401" s="14">
        <f t="shared" si="339"/>
        <v>3.0793072461189563</v>
      </c>
      <c r="BE401" s="14">
        <f t="shared" si="339"/>
        <v>2.9738564504734688</v>
      </c>
      <c r="BF401" s="14">
        <f t="shared" si="339"/>
        <v>2.6868796193014557</v>
      </c>
    </row>
    <row r="402" spans="37:58" ht="15.75" thickBot="1" x14ac:dyDescent="0.3">
      <c r="AK402" s="15" t="s">
        <v>313</v>
      </c>
      <c r="AL402" s="402">
        <f>AL394/AL399*100</f>
        <v>12.206924417998529</v>
      </c>
      <c r="AM402" s="501">
        <f t="shared" ref="AM402:AX402" si="340">AM394/AM399*100</f>
        <v>11.339396492919947</v>
      </c>
      <c r="AN402" s="501">
        <f t="shared" si="340"/>
        <v>11.283847140144742</v>
      </c>
      <c r="AO402" s="501">
        <f t="shared" si="340"/>
        <v>6.4105888504997779</v>
      </c>
      <c r="AP402" s="501">
        <f t="shared" si="340"/>
        <v>6.4827745868041786</v>
      </c>
      <c r="AQ402" s="501">
        <f t="shared" si="340"/>
        <v>5.4433356575311658</v>
      </c>
      <c r="AR402" s="501">
        <f t="shared" si="340"/>
        <v>7.2265812549245867</v>
      </c>
      <c r="AS402" s="501">
        <f t="shared" si="340"/>
        <v>7.8697689198063099</v>
      </c>
      <c r="AT402" s="501">
        <f t="shared" si="340"/>
        <v>6.9888694759187269</v>
      </c>
      <c r="AU402" s="501">
        <f t="shared" si="340"/>
        <v>6.5530001405218048</v>
      </c>
      <c r="AV402" s="501">
        <f t="shared" si="340"/>
        <v>6.9234444120439029</v>
      </c>
      <c r="AW402" s="612">
        <f t="shared" si="340"/>
        <v>7.8576094839107951</v>
      </c>
      <c r="AX402" s="403">
        <f t="shared" si="340"/>
        <v>9.2442949795820315</v>
      </c>
      <c r="AY402" s="403">
        <f>AY394/AY399*100</f>
        <v>7.9921175875961561</v>
      </c>
      <c r="AZ402" s="403">
        <f>AZ394/AZ399*100</f>
        <v>7.6439255867248441</v>
      </c>
      <c r="BA402" s="403">
        <f>BA394/BA399*100</f>
        <v>6.8281097416401773</v>
      </c>
      <c r="BB402" s="403">
        <f>BB394/BB399*100</f>
        <v>6.7674454659830392</v>
      </c>
      <c r="BC402" s="403">
        <f t="shared" ref="BC402:BF402" si="341">BC394/BC399*100</f>
        <v>3.6649603938346336</v>
      </c>
      <c r="BD402" s="403">
        <f t="shared" si="341"/>
        <v>3.5141801041477301</v>
      </c>
      <c r="BE402" s="403">
        <f t="shared" si="341"/>
        <v>3.716120583768403</v>
      </c>
      <c r="BF402" s="403">
        <f t="shared" si="341"/>
        <v>3.561072641218864</v>
      </c>
    </row>
    <row r="403" spans="37:58" ht="15.75" thickBot="1" x14ac:dyDescent="0.3">
      <c r="AK403" s="12" t="s">
        <v>26</v>
      </c>
      <c r="AL403" s="464">
        <v>825056</v>
      </c>
      <c r="AM403" s="465">
        <v>848204</v>
      </c>
      <c r="AN403" s="465">
        <v>924696</v>
      </c>
      <c r="AO403" s="465">
        <v>985514</v>
      </c>
      <c r="AP403" s="465">
        <v>997791</v>
      </c>
      <c r="AQ403" s="465">
        <v>1005984</v>
      </c>
      <c r="AR403" s="465">
        <v>1073238</v>
      </c>
      <c r="AS403" s="465">
        <v>1070624</v>
      </c>
      <c r="AT403" s="465">
        <v>1030760</v>
      </c>
      <c r="AU403" s="465">
        <v>1072544</v>
      </c>
      <c r="AV403" s="465">
        <v>1109892</v>
      </c>
      <c r="AW403" s="465">
        <v>1163376</v>
      </c>
      <c r="AX403" s="465">
        <v>1129593</v>
      </c>
      <c r="AY403" s="465">
        <v>1205011</v>
      </c>
      <c r="AZ403" s="465">
        <v>1233423</v>
      </c>
      <c r="BA403" s="465">
        <v>1292983</v>
      </c>
      <c r="BB403" s="465">
        <v>1269580</v>
      </c>
      <c r="BC403" s="465">
        <v>1292276.71</v>
      </c>
      <c r="BD403" s="465">
        <v>1306049</v>
      </c>
      <c r="BE403" s="482">
        <v>1405757</v>
      </c>
      <c r="BF403" s="467">
        <v>1431391</v>
      </c>
    </row>
    <row r="404" spans="37:58" ht="15.75" thickBot="1" x14ac:dyDescent="0.3">
      <c r="AK404" s="336" t="s">
        <v>477</v>
      </c>
      <c r="AL404" s="613">
        <f>AL397/AL403*100</f>
        <v>7.1132616755711124</v>
      </c>
      <c r="AM404" s="484">
        <f t="shared" ref="AM404:AX404" si="342">AM397/AM403*100</f>
        <v>6.5575653801443989</v>
      </c>
      <c r="AN404" s="484">
        <f t="shared" si="342"/>
        <v>6.9285397613702244</v>
      </c>
      <c r="AO404" s="484">
        <f t="shared" si="342"/>
        <v>4.1272952027510517</v>
      </c>
      <c r="AP404" s="484">
        <f t="shared" si="342"/>
        <v>4.4043889448972777</v>
      </c>
      <c r="AQ404" s="484">
        <f t="shared" si="342"/>
        <v>3.7675617054863704</v>
      </c>
      <c r="AR404" s="484">
        <f t="shared" si="342"/>
        <v>5.6224480780833321</v>
      </c>
      <c r="AS404" s="484">
        <f t="shared" si="342"/>
        <v>5.7127232740523288</v>
      </c>
      <c r="AT404" s="484">
        <f t="shared" si="342"/>
        <v>4.5637356901703594</v>
      </c>
      <c r="AU404" s="484">
        <f t="shared" si="342"/>
        <v>4.3870461258465854</v>
      </c>
      <c r="AV404" s="484">
        <f t="shared" si="342"/>
        <v>4.5855812998021435</v>
      </c>
      <c r="AW404" s="484">
        <f t="shared" si="342"/>
        <v>5.5051849101236403</v>
      </c>
      <c r="AX404" s="484">
        <f t="shared" si="342"/>
        <v>6.1679737746250201</v>
      </c>
      <c r="AY404" s="484">
        <f>AY397/AY403*100</f>
        <v>5.299453697933048</v>
      </c>
      <c r="AZ404" s="484">
        <f>AZ397/AZ403*100</f>
        <v>5.0301478081728659</v>
      </c>
      <c r="BA404" s="484">
        <f>BA397/BA403*100</f>
        <v>4.9162285969730464</v>
      </c>
      <c r="BB404" s="484">
        <f>BB397/BB403*100</f>
        <v>4.7620472912301706</v>
      </c>
      <c r="BC404" s="484">
        <f t="shared" ref="BC404:BF404" si="343">BC397/BC403*100</f>
        <v>3.7778286664316658</v>
      </c>
      <c r="BD404" s="484">
        <f t="shared" si="343"/>
        <v>3.9157030096114314</v>
      </c>
      <c r="BE404" s="484">
        <f t="shared" si="343"/>
        <v>3.8667422605756188</v>
      </c>
      <c r="BF404" s="484">
        <f t="shared" si="343"/>
        <v>3.5570993530069699</v>
      </c>
    </row>
    <row r="406" spans="37:58" ht="15.75" thickBot="1" x14ac:dyDescent="0.3"/>
    <row r="407" spans="37:58" ht="19.5" thickBot="1" x14ac:dyDescent="0.35">
      <c r="AK407" s="1112" t="s">
        <v>478</v>
      </c>
      <c r="AL407" s="1113"/>
      <c r="AM407" s="1113"/>
      <c r="AN407" s="1113"/>
      <c r="AO407" s="1113"/>
      <c r="AP407" s="1113"/>
      <c r="AQ407" s="1113"/>
      <c r="AR407" s="1113"/>
      <c r="AS407" s="1113"/>
      <c r="AT407" s="1113"/>
      <c r="AU407" s="1113"/>
      <c r="AV407" s="1113"/>
      <c r="AW407" s="1113"/>
      <c r="AX407" s="1113"/>
      <c r="AY407" s="1113"/>
      <c r="AZ407" s="1113"/>
      <c r="BA407" s="1113"/>
      <c r="BB407" s="1113"/>
      <c r="BC407" s="1113"/>
      <c r="BD407" s="1113"/>
      <c r="BE407" s="1113"/>
      <c r="BF407" s="1114"/>
    </row>
    <row r="408" spans="37:58" ht="15.75" thickBot="1" x14ac:dyDescent="0.3"/>
    <row r="409" spans="37:58" ht="15.75" thickBot="1" x14ac:dyDescent="0.3">
      <c r="AK409" s="157" t="s">
        <v>479</v>
      </c>
      <c r="AL409" s="77" t="s">
        <v>0</v>
      </c>
      <c r="AM409" s="31" t="s">
        <v>1</v>
      </c>
      <c r="AN409" s="31" t="s">
        <v>2</v>
      </c>
      <c r="AO409" s="31" t="s">
        <v>3</v>
      </c>
      <c r="AP409" s="31" t="s">
        <v>4</v>
      </c>
      <c r="AQ409" s="31" t="s">
        <v>5</v>
      </c>
      <c r="AR409" s="31" t="s">
        <v>6</v>
      </c>
      <c r="AS409" s="31" t="s">
        <v>7</v>
      </c>
      <c r="AT409" s="31" t="s">
        <v>27</v>
      </c>
      <c r="AU409" s="31" t="s">
        <v>9</v>
      </c>
      <c r="AV409" s="31" t="s">
        <v>10</v>
      </c>
      <c r="AW409" s="31" t="s">
        <v>11</v>
      </c>
      <c r="AX409" s="31" t="s">
        <v>12</v>
      </c>
      <c r="AY409" s="31" t="s">
        <v>13</v>
      </c>
      <c r="AZ409" s="31" t="s">
        <v>14</v>
      </c>
      <c r="BA409" s="31" t="s">
        <v>15</v>
      </c>
      <c r="BB409" s="31" t="s">
        <v>16</v>
      </c>
      <c r="BC409" s="31" t="s">
        <v>17</v>
      </c>
      <c r="BD409" s="31" t="s">
        <v>18</v>
      </c>
      <c r="BE409" s="526" t="s">
        <v>300</v>
      </c>
      <c r="BF409" s="509" t="s">
        <v>203</v>
      </c>
    </row>
    <row r="410" spans="37:58" x14ac:dyDescent="0.25">
      <c r="AK410" s="279" t="s">
        <v>34</v>
      </c>
      <c r="AL410" s="539">
        <f>'[15]2016. I. - Állományi'!E38+'[15]2016. I. - Állományi'!J38</f>
        <v>240.69209599999999</v>
      </c>
      <c r="AM410" s="359">
        <f>'[15]2016. II. - Állományi'!E38+'[15]2016. II. - Állományi'!J38</f>
        <v>179.683491</v>
      </c>
      <c r="AN410" s="359">
        <f>'[15]2016. III. - Állományi'!E38+'[15]2016. III. - Állományi'!J38</f>
        <v>221.31647100000001</v>
      </c>
      <c r="AO410" s="359">
        <f>'[15]2016. IV.- Állományi'!E38+'[15]2016. IV.- Állományi'!J38</f>
        <v>220.29826299999999</v>
      </c>
      <c r="AP410" s="359">
        <f>'[15]2017. I. - Állományi'!E38+'[15]2017. I. - Állományi'!J38</f>
        <v>185.01253600000001</v>
      </c>
      <c r="AQ410" s="359">
        <f>'[15]2017. II. - Állományi'!E38+'[15]2017. II. - Állományi'!J38</f>
        <v>115.658</v>
      </c>
      <c r="AR410" s="359">
        <f>'[15]2017. III. - Állományi'!E38+'[15]2017. III. - Állományi'!J38</f>
        <v>701</v>
      </c>
      <c r="AS410" s="359">
        <f>'[15]2017. IV. - Állományi'!E38+'[15]2017. IV. - Állományi'!J38</f>
        <v>100.767675</v>
      </c>
      <c r="AT410" s="359">
        <f>'[15]2018. I. - Állományi_R'!E39+'[15]2018. I. - Állományi_R'!J39</f>
        <v>1222</v>
      </c>
      <c r="AU410" s="359">
        <f>'[15]2018. I. - Állományi_Új'!E29+'[15]2018. I. - Állományi_Új'!J29</f>
        <v>1222</v>
      </c>
      <c r="AV410" s="359">
        <f>'[15]2018. II. - Állományi_Új'!E29+'[15]2018. II. - Állományi_Új'!J29</f>
        <v>85</v>
      </c>
      <c r="AW410" s="360">
        <f>'[15]2018. III. - Állományi_Új'!E29+'[15]2018. III. - Állományi_Új'!J29</f>
        <v>125</v>
      </c>
      <c r="AX410" s="359">
        <f>'[15]2018. IV. - Állományi_Új'!E29+'[15]2018. IV. - Állományi_Új'!J29</f>
        <v>2272</v>
      </c>
      <c r="AY410" s="359">
        <f>'[15]2019. I. Állomány adatok_Korr'!F34+'[15]2019. I. Állomány adatok_Korr'!L34</f>
        <v>313</v>
      </c>
      <c r="AZ410" s="359">
        <f>'[15]2019. II. Állomány adatok'!F32+'[15]2019. II. Állomány adatok'!L32</f>
        <v>247</v>
      </c>
      <c r="BA410" s="359">
        <f>'[15]2019. III. Állomány adatok'!F32+'[15]2019. III. Állomány adatok'!L32</f>
        <v>384</v>
      </c>
      <c r="BB410" s="359">
        <f>'[15]2019. IV. Állomány adatok'!F32+'[15]2019. IV. Állomány adatok'!L32</f>
        <v>535</v>
      </c>
      <c r="BC410" s="359">
        <f>'[15]2020. I. Állomány adatok'!H34+'[15]2020. I. Állomány adatok'!M34</f>
        <v>317</v>
      </c>
      <c r="BD410" s="359">
        <f>'[15]2020. II. Állományi adatok'!H34+'[15]2020. II. Állományi adatok'!M34</f>
        <v>362</v>
      </c>
      <c r="BE410" s="539">
        <f>'[15]2020. III. Állományi adatok'!H34+'[15]2020. III. Állományi adatok'!M34</f>
        <v>439</v>
      </c>
      <c r="BF410" s="443">
        <f>'[15]2020. IV. Állományi adatok'!H34+'[15]2020. IV. Állományi adatok'!M34</f>
        <v>398</v>
      </c>
    </row>
    <row r="411" spans="37:58" ht="15.75" thickBot="1" x14ac:dyDescent="0.3">
      <c r="AK411" s="361" t="s">
        <v>35</v>
      </c>
      <c r="AL411" s="540">
        <f>'[15]2016. I. - Állományi'!E67+'[15]2016. I. - Állományi'!J67</f>
        <v>88848.862247690005</v>
      </c>
      <c r="AM411" s="282">
        <f>'[15]2016. II. - Állományi'!E67+'[15]2016. II. - Állományi'!J67</f>
        <v>81559.862538999994</v>
      </c>
      <c r="AN411" s="282">
        <f>'[15]2016. III. - Állományi'!E67+'[15]2016. III. - Állományi'!J67</f>
        <v>96302.079188000003</v>
      </c>
      <c r="AO411" s="282">
        <f>'[15]2016. IV.- Állományi'!E67+'[15]2016. IV.- Állományi'!J67</f>
        <v>99845.691082142002</v>
      </c>
      <c r="AP411" s="282">
        <f>'[15]2017. I. - Állományi'!E67+'[15]2017. I. - Állományi'!J67</f>
        <v>77871.924122730008</v>
      </c>
      <c r="AQ411" s="282">
        <f>'[15]2017. II. - Állományi'!E67+'[15]2017. II. - Állományi'!J67</f>
        <v>66520.337770384198</v>
      </c>
      <c r="AR411" s="282">
        <f>'[15]2017. III. - Állományi'!E67+'[15]2017. III. - Állományi'!J67</f>
        <v>93561.034301184904</v>
      </c>
      <c r="AS411" s="282">
        <f>'[15]2017. IV. - Állományi'!E67+'[15]2017. IV. - Állományi'!J67</f>
        <v>108070.82961839001</v>
      </c>
      <c r="AT411" s="282">
        <f>'[15]2018. I. - Állományi_R'!E69+'[15]2018. I. - Állományi_R'!J69</f>
        <v>94615.411999999997</v>
      </c>
      <c r="AU411" s="282">
        <f>'[15]2018. I. - Állományi_Új'!E54+'[15]2018. I. - Állományi_Új'!J54</f>
        <v>40571</v>
      </c>
      <c r="AV411" s="282">
        <f>'[15]2018. II. - Állományi_Új'!E69+'[15]2018. II. - Állományi_Új'!J69</f>
        <v>69569</v>
      </c>
      <c r="AW411" s="283">
        <f>'[15]2018. III. - Állományi_Új'!E69+'[15]2018. III. - Állományi_Új'!J69</f>
        <v>89439</v>
      </c>
      <c r="AX411" s="282">
        <f>'[15]2018. IV. - Állományi_Új'!E54+'[15]2018. IV. - Állományi_Új'!J54</f>
        <v>57726</v>
      </c>
      <c r="AY411" s="282">
        <f>'[15]2019. I. Állomány adatok_Korr'!F76+'[15]2019. I. Állomány adatok_Korr'!L76</f>
        <v>85834</v>
      </c>
      <c r="AZ411" s="282">
        <f>'[15]2019. II. Állomány adatok'!F74+'[15]2019. II. Állomány adatok'!L74</f>
        <v>76937</v>
      </c>
      <c r="BA411" s="282">
        <f>'[15]2019. III. Állomány adatok'!F74+'[15]2019. III. Állomány adatok'!L74</f>
        <v>94501</v>
      </c>
      <c r="BB411" s="282">
        <f>'[15]2019. IV. Állomány adatok'!F74+'[15]2019. IV. Állomány adatok'!L74</f>
        <v>97618</v>
      </c>
      <c r="BC411" s="282">
        <f>'[15]2020. II. Állományi adatok'!H81+'[15]2020. II. Állományi adatok'!M81</f>
        <v>75533</v>
      </c>
      <c r="BD411" s="282">
        <f>'[15]2020. II. Állományi adatok'!H81+'[15]2020. II. Állományi adatok'!M81</f>
        <v>75533</v>
      </c>
      <c r="BE411" s="540">
        <f>'[15]2020. III. Állományi adatok'!H81+'[15]2020. III. Állományi adatok'!M81</f>
        <v>74905</v>
      </c>
      <c r="BF411" s="445">
        <f>'[15]2020. IV. Állományi adatok'!H81+'[15]2020. IV. Állományi adatok'!M81</f>
        <v>84179</v>
      </c>
    </row>
    <row r="412" spans="37:58" x14ac:dyDescent="0.25">
      <c r="AK412" s="510" t="s">
        <v>472</v>
      </c>
      <c r="AL412" s="245">
        <f>AL410/AL414*100</f>
        <v>0.27016870582993058</v>
      </c>
      <c r="AM412" s="220">
        <f t="shared" ref="AM412:AX412" si="344">AM410/AM414*100</f>
        <v>0.21982442982256431</v>
      </c>
      <c r="AN412" s="220">
        <f t="shared" si="344"/>
        <v>0.22928790423191467</v>
      </c>
      <c r="AO412" s="220">
        <f t="shared" si="344"/>
        <v>0.22015298548656681</v>
      </c>
      <c r="AP412" s="220">
        <f t="shared" si="344"/>
        <v>0.23702254267149481</v>
      </c>
      <c r="AQ412" s="220">
        <f t="shared" si="344"/>
        <v>0.17356685176362777</v>
      </c>
      <c r="AR412" s="220">
        <f t="shared" si="344"/>
        <v>0.74367162261762076</v>
      </c>
      <c r="AS412" s="220">
        <f t="shared" si="344"/>
        <v>9.3155391545796801E-2</v>
      </c>
      <c r="AT412" s="220">
        <f t="shared" si="344"/>
        <v>1.2750761675409183</v>
      </c>
      <c r="AU412" s="220">
        <f t="shared" si="344"/>
        <v>2.9239346302012299</v>
      </c>
      <c r="AV412" s="220">
        <f t="shared" si="344"/>
        <v>0.12203175697016683</v>
      </c>
      <c r="AW412" s="288">
        <f t="shared" si="344"/>
        <v>0.13956500379616812</v>
      </c>
      <c r="AX412" s="220">
        <f t="shared" si="344"/>
        <v>3.7867928930964365</v>
      </c>
      <c r="AY412" s="220">
        <f>AY410/AY414*100</f>
        <v>0.3633324433816616</v>
      </c>
      <c r="AZ412" s="220">
        <f>AZ410/AZ414*100</f>
        <v>0.32001451077943616</v>
      </c>
      <c r="BA412" s="220">
        <f>BA410/BA414*100</f>
        <v>0.40470042683248147</v>
      </c>
      <c r="BB412" s="220">
        <f>BB410/BB414*100</f>
        <v>0.54506739478161648</v>
      </c>
      <c r="BC412" s="220">
        <f t="shared" ref="BC412:BF412" si="345">BC410/BC414*100</f>
        <v>0.41793012524719841</v>
      </c>
      <c r="BD412" s="220">
        <f t="shared" si="345"/>
        <v>0.47697476777126296</v>
      </c>
      <c r="BE412" s="220">
        <f t="shared" si="345"/>
        <v>0.58266086217880653</v>
      </c>
      <c r="BF412" s="220">
        <f t="shared" si="345"/>
        <v>0.47057710725138041</v>
      </c>
    </row>
    <row r="413" spans="37:58" ht="15.75" thickBot="1" x14ac:dyDescent="0.3">
      <c r="AK413" s="290" t="s">
        <v>473</v>
      </c>
      <c r="AL413" s="365">
        <f>AL411/AL414*100</f>
        <v>99.729831294170069</v>
      </c>
      <c r="AM413" s="292">
        <f t="shared" ref="AM413:AX413" si="346">AM411/AM414*100</f>
        <v>99.780175570177434</v>
      </c>
      <c r="AN413" s="292">
        <f t="shared" si="346"/>
        <v>99.77071209576809</v>
      </c>
      <c r="AO413" s="292">
        <f t="shared" si="346"/>
        <v>99.779847014513436</v>
      </c>
      <c r="AP413" s="292">
        <f t="shared" si="346"/>
        <v>99.762977457328518</v>
      </c>
      <c r="AQ413" s="292">
        <f t="shared" si="346"/>
        <v>99.826433148236376</v>
      </c>
      <c r="AR413" s="292">
        <f t="shared" si="346"/>
        <v>99.256328377382374</v>
      </c>
      <c r="AS413" s="292">
        <f t="shared" si="346"/>
        <v>99.906844608454207</v>
      </c>
      <c r="AT413" s="292">
        <f t="shared" si="346"/>
        <v>98.724923832459083</v>
      </c>
      <c r="AU413" s="292">
        <f t="shared" si="346"/>
        <v>97.076065369798769</v>
      </c>
      <c r="AV413" s="292">
        <f t="shared" si="346"/>
        <v>99.877968243029841</v>
      </c>
      <c r="AW413" s="293">
        <f t="shared" si="346"/>
        <v>99.860434996203821</v>
      </c>
      <c r="AX413" s="292">
        <f t="shared" si="346"/>
        <v>96.213207106903567</v>
      </c>
      <c r="AY413" s="292">
        <f>AY411/AY414*100</f>
        <v>99.636667556618335</v>
      </c>
      <c r="AZ413" s="292">
        <f>AZ411/AZ414*100</f>
        <v>99.67998548922057</v>
      </c>
      <c r="BA413" s="292">
        <f>BA411/BA414*100</f>
        <v>99.595299573167523</v>
      </c>
      <c r="BB413" s="292">
        <f>BB411/BB414*100</f>
        <v>99.454932605218389</v>
      </c>
      <c r="BC413" s="292">
        <f t="shared" ref="BC413:BF413" si="347">BC411/BC414*100</f>
        <v>99.582069874752804</v>
      </c>
      <c r="BD413" s="292">
        <f t="shared" si="347"/>
        <v>99.523025232228733</v>
      </c>
      <c r="BE413" s="292">
        <f t="shared" si="347"/>
        <v>99.417339137821187</v>
      </c>
      <c r="BF413" s="292">
        <f t="shared" si="347"/>
        <v>99.529422892748613</v>
      </c>
    </row>
    <row r="414" spans="37:58" x14ac:dyDescent="0.25">
      <c r="AK414" s="452" t="s">
        <v>480</v>
      </c>
      <c r="AL414" s="370">
        <f t="shared" ref="AL414:BF414" si="348">AL410+AL411</f>
        <v>89089.554343690004</v>
      </c>
      <c r="AM414" s="371">
        <f t="shared" si="348"/>
        <v>81739.546029999998</v>
      </c>
      <c r="AN414" s="371">
        <f t="shared" si="348"/>
        <v>96523.395659000002</v>
      </c>
      <c r="AO414" s="371">
        <f t="shared" si="348"/>
        <v>100065.98934514201</v>
      </c>
      <c r="AP414" s="371">
        <f t="shared" si="348"/>
        <v>78056.936658730003</v>
      </c>
      <c r="AQ414" s="371">
        <f t="shared" si="348"/>
        <v>66635.995770384194</v>
      </c>
      <c r="AR414" s="371">
        <f t="shared" si="348"/>
        <v>94262.034301184904</v>
      </c>
      <c r="AS414" s="371">
        <f t="shared" si="348"/>
        <v>108171.59729339</v>
      </c>
      <c r="AT414" s="371">
        <f t="shared" si="348"/>
        <v>95837.411999999997</v>
      </c>
      <c r="AU414" s="371">
        <f t="shared" si="348"/>
        <v>41793</v>
      </c>
      <c r="AV414" s="371">
        <f t="shared" si="348"/>
        <v>69654</v>
      </c>
      <c r="AW414" s="372">
        <f t="shared" si="348"/>
        <v>89564</v>
      </c>
      <c r="AX414" s="371">
        <f t="shared" si="348"/>
        <v>59998</v>
      </c>
      <c r="AY414" s="371">
        <f t="shared" si="348"/>
        <v>86147</v>
      </c>
      <c r="AZ414" s="371">
        <f t="shared" si="348"/>
        <v>77184</v>
      </c>
      <c r="BA414" s="371">
        <f t="shared" si="348"/>
        <v>94885</v>
      </c>
      <c r="BB414" s="371">
        <f t="shared" si="348"/>
        <v>98153</v>
      </c>
      <c r="BC414" s="371">
        <f t="shared" si="348"/>
        <v>75850</v>
      </c>
      <c r="BD414" s="371">
        <f t="shared" si="348"/>
        <v>75895</v>
      </c>
      <c r="BE414" s="371">
        <f t="shared" si="348"/>
        <v>75344</v>
      </c>
      <c r="BF414" s="371">
        <f t="shared" si="348"/>
        <v>84577</v>
      </c>
    </row>
    <row r="415" spans="37:58" x14ac:dyDescent="0.25">
      <c r="AK415" s="448" t="s">
        <v>481</v>
      </c>
      <c r="AL415" s="248">
        <f>AL414/AL416*100</f>
        <v>23.211224592633027</v>
      </c>
      <c r="AM415" s="223">
        <f t="shared" ref="AM415:AX415" si="349">AM414/AM416*100</f>
        <v>20.96563146811534</v>
      </c>
      <c r="AN415" s="223">
        <f t="shared" si="349"/>
        <v>23.207090670606508</v>
      </c>
      <c r="AO415" s="223">
        <f t="shared" si="349"/>
        <v>23.697494776997804</v>
      </c>
      <c r="AP415" s="223">
        <f t="shared" si="349"/>
        <v>19.874458729148316</v>
      </c>
      <c r="AQ415" s="223">
        <f t="shared" si="349"/>
        <v>17.375522032407449</v>
      </c>
      <c r="AR415" s="223">
        <f t="shared" si="349"/>
        <v>21.997473659185346</v>
      </c>
      <c r="AS415" s="223">
        <f t="shared" si="349"/>
        <v>23.517302864426938</v>
      </c>
      <c r="AT415" s="223">
        <f t="shared" si="349"/>
        <v>21.278666583775909</v>
      </c>
      <c r="AU415" s="223">
        <f t="shared" si="349"/>
        <v>9.2172210055511066</v>
      </c>
      <c r="AV415" s="223">
        <f t="shared" si="349"/>
        <v>14.973429868611129</v>
      </c>
      <c r="AW415" s="223">
        <f t="shared" si="349"/>
        <v>18.058277483406322</v>
      </c>
      <c r="AX415" s="223">
        <f t="shared" si="349"/>
        <v>11.877428767695484</v>
      </c>
      <c r="AY415" s="223">
        <f>AY414/AY416*100</f>
        <v>16.55243837532592</v>
      </c>
      <c r="AZ415" s="223">
        <f>AZ414/AZ416*100</f>
        <v>15.110119222411464</v>
      </c>
      <c r="BA415" s="223">
        <f>BA414/BA416*100</f>
        <v>17.36338582821255</v>
      </c>
      <c r="BB415" s="223">
        <f>BB414/BB416*100</f>
        <v>18.013426612441457</v>
      </c>
      <c r="BC415" s="223">
        <f t="shared" ref="BC415:BF415" si="350">BC414/BC416*100</f>
        <v>13.565362980140522</v>
      </c>
      <c r="BD415" s="223">
        <f t="shared" si="350"/>
        <v>14.308499506993527</v>
      </c>
      <c r="BE415" s="223">
        <f t="shared" si="350"/>
        <v>12.70033915218696</v>
      </c>
      <c r="BF415" s="223">
        <f t="shared" si="350"/>
        <v>13.719631383350608</v>
      </c>
    </row>
    <row r="416" spans="37:58" ht="15.75" thickBot="1" x14ac:dyDescent="0.3">
      <c r="AK416" s="452" t="s">
        <v>482</v>
      </c>
      <c r="AL416" s="387">
        <v>383821</v>
      </c>
      <c r="AM416" s="388">
        <v>389874</v>
      </c>
      <c r="AN416" s="388">
        <v>415922</v>
      </c>
      <c r="AO416" s="388">
        <v>422264</v>
      </c>
      <c r="AP416" s="388">
        <v>392750</v>
      </c>
      <c r="AQ416" s="388">
        <v>383505</v>
      </c>
      <c r="AR416" s="388">
        <v>428513</v>
      </c>
      <c r="AS416" s="388">
        <v>459966</v>
      </c>
      <c r="AT416" s="388">
        <v>450392</v>
      </c>
      <c r="AU416" s="388">
        <v>453423</v>
      </c>
      <c r="AV416" s="388">
        <v>465184</v>
      </c>
      <c r="AW416" s="389">
        <v>495972</v>
      </c>
      <c r="AX416" s="388">
        <v>505143</v>
      </c>
      <c r="AY416" s="388">
        <v>520449</v>
      </c>
      <c r="AZ416" s="388">
        <v>510810</v>
      </c>
      <c r="BA416" s="388">
        <v>546466</v>
      </c>
      <c r="BB416" s="388">
        <v>544888</v>
      </c>
      <c r="BC416" s="388">
        <v>559144.64</v>
      </c>
      <c r="BD416" s="388">
        <v>530419</v>
      </c>
      <c r="BE416" s="388">
        <v>593244</v>
      </c>
      <c r="BF416" s="388">
        <v>616467</v>
      </c>
    </row>
    <row r="417" spans="37:58" x14ac:dyDescent="0.25">
      <c r="AK417" s="25" t="s">
        <v>483</v>
      </c>
      <c r="AL417" s="398">
        <v>0</v>
      </c>
      <c r="AM417" s="232">
        <f>AM414/AL414*100-100</f>
        <v>-8.2501347860997498</v>
      </c>
      <c r="AN417" s="232">
        <f t="shared" ref="AN417:AX417" si="351">AN414/AM414*100-100</f>
        <v>18.086532586777565</v>
      </c>
      <c r="AO417" s="232">
        <f t="shared" si="351"/>
        <v>3.6701917311916361</v>
      </c>
      <c r="AP417" s="232">
        <f t="shared" si="351"/>
        <v>-21.994538634400158</v>
      </c>
      <c r="AQ417" s="232">
        <f t="shared" si="351"/>
        <v>-14.631551502307744</v>
      </c>
      <c r="AR417" s="232">
        <f t="shared" si="351"/>
        <v>41.45813116681731</v>
      </c>
      <c r="AS417" s="232">
        <f t="shared" si="351"/>
        <v>14.756272867781988</v>
      </c>
      <c r="AT417" s="232">
        <f t="shared" si="351"/>
        <v>-11.40242503763389</v>
      </c>
      <c r="AU417" s="232">
        <f t="shared" si="351"/>
        <v>-56.391769009789208</v>
      </c>
      <c r="AV417" s="232">
        <f t="shared" si="351"/>
        <v>66.664273921470084</v>
      </c>
      <c r="AW417" s="550">
        <f t="shared" si="351"/>
        <v>28.584144485600262</v>
      </c>
      <c r="AX417" s="232">
        <f t="shared" si="351"/>
        <v>-33.01103121790004</v>
      </c>
      <c r="AY417" s="232">
        <f>AY414/AW414*100-100</f>
        <v>-3.8151489437720443</v>
      </c>
      <c r="AZ417" s="232">
        <f>AZ414/AY414*100-100</f>
        <v>-10.404308913833333</v>
      </c>
      <c r="BA417" s="232">
        <f>BA414/AZ414*100-100</f>
        <v>22.933509535655048</v>
      </c>
      <c r="BB417" s="232">
        <f>BB414/BA414*100-100</f>
        <v>3.4441692575222618</v>
      </c>
      <c r="BC417" s="232">
        <f t="shared" ref="BC417:BF417" si="352">BC414/BB414*100-100</f>
        <v>-22.7226880482512</v>
      </c>
      <c r="BD417" s="232">
        <f t="shared" si="352"/>
        <v>5.9327620303236017E-2</v>
      </c>
      <c r="BE417" s="232">
        <f t="shared" si="352"/>
        <v>-0.72600303050266746</v>
      </c>
      <c r="BF417" s="232">
        <f t="shared" si="352"/>
        <v>12.254459545551072</v>
      </c>
    </row>
    <row r="418" spans="37:58" x14ac:dyDescent="0.25">
      <c r="AK418" s="15" t="s">
        <v>484</v>
      </c>
      <c r="AL418" s="13">
        <f>AL410/AL416*100</f>
        <v>6.2709465089195227E-2</v>
      </c>
      <c r="AM418" s="458">
        <f t="shared" ref="AM418:AX418" si="353">AM410/AM416*100</f>
        <v>4.6087579833484667E-2</v>
      </c>
      <c r="AN418" s="458">
        <f t="shared" si="353"/>
        <v>5.3211051831833861E-2</v>
      </c>
      <c r="AO418" s="458">
        <f t="shared" si="353"/>
        <v>5.2170742237083907E-2</v>
      </c>
      <c r="AP418" s="458">
        <f t="shared" si="353"/>
        <v>4.710694742202419E-2</v>
      </c>
      <c r="AQ418" s="458">
        <f t="shared" si="353"/>
        <v>3.015814656914512E-2</v>
      </c>
      <c r="AR418" s="458">
        <f t="shared" si="353"/>
        <v>0.16358896929614739</v>
      </c>
      <c r="AS418" s="458">
        <f t="shared" si="353"/>
        <v>2.1907635564367801E-2</v>
      </c>
      <c r="AT418" s="458">
        <f t="shared" si="353"/>
        <v>0.27131920638021989</v>
      </c>
      <c r="AU418" s="458">
        <f t="shared" si="353"/>
        <v>0.26950551692349084</v>
      </c>
      <c r="AV418" s="458">
        <f t="shared" si="353"/>
        <v>1.8272339547361904E-2</v>
      </c>
      <c r="AW418" s="459">
        <f t="shared" si="353"/>
        <v>2.5203035655238602E-2</v>
      </c>
      <c r="AX418" s="14">
        <f t="shared" si="353"/>
        <v>0.44977362845768426</v>
      </c>
      <c r="AY418" s="14">
        <f>AY410/AY416*100</f>
        <v>6.014037878831547E-2</v>
      </c>
      <c r="AZ418" s="14">
        <f>AZ410/AZ416*100</f>
        <v>4.8354574107789587E-2</v>
      </c>
      <c r="BA418" s="14">
        <f>BA410/BA416*100</f>
        <v>7.0269696559346784E-2</v>
      </c>
      <c r="BB418" s="14">
        <f>BB410/BB416*100</f>
        <v>9.8185315147333044E-2</v>
      </c>
      <c r="BC418" s="14">
        <f t="shared" ref="BC418:BF418" si="354">BC410/BC416*100</f>
        <v>5.6693738493138378E-2</v>
      </c>
      <c r="BD418" s="14">
        <f t="shared" si="354"/>
        <v>6.8247932295034688E-2</v>
      </c>
      <c r="BE418" s="14">
        <f t="shared" si="354"/>
        <v>7.3999905603765057E-2</v>
      </c>
      <c r="BF418" s="14">
        <f t="shared" si="354"/>
        <v>6.4561444489323841E-2</v>
      </c>
    </row>
    <row r="419" spans="37:58" ht="15.75" thickBot="1" x14ac:dyDescent="0.3">
      <c r="AK419" s="15" t="s">
        <v>485</v>
      </c>
      <c r="AL419" s="402">
        <f>AL411/AL416*100</f>
        <v>23.148515127543831</v>
      </c>
      <c r="AM419" s="501">
        <f t="shared" ref="AM419:AX419" si="355">AM411/AM416*100</f>
        <v>20.919543888281851</v>
      </c>
      <c r="AN419" s="501">
        <f t="shared" si="355"/>
        <v>23.153879618774674</v>
      </c>
      <c r="AO419" s="501">
        <f t="shared" si="355"/>
        <v>23.645324034760719</v>
      </c>
      <c r="AP419" s="501">
        <f t="shared" si="355"/>
        <v>19.827351781726289</v>
      </c>
      <c r="AQ419" s="501">
        <f t="shared" si="355"/>
        <v>17.345363885838307</v>
      </c>
      <c r="AR419" s="501">
        <f t="shared" si="355"/>
        <v>21.833884689889199</v>
      </c>
      <c r="AS419" s="501">
        <f t="shared" si="355"/>
        <v>23.49539522886257</v>
      </c>
      <c r="AT419" s="501">
        <f t="shared" si="355"/>
        <v>21.007347377395689</v>
      </c>
      <c r="AU419" s="501">
        <f t="shared" si="355"/>
        <v>8.9477154886276171</v>
      </c>
      <c r="AV419" s="501">
        <f t="shared" si="355"/>
        <v>14.955157529063767</v>
      </c>
      <c r="AW419" s="612">
        <f t="shared" si="355"/>
        <v>18.033074447751083</v>
      </c>
      <c r="AX419" s="403">
        <f t="shared" si="355"/>
        <v>11.4276551392378</v>
      </c>
      <c r="AY419" s="403">
        <f>AY411/AY416*100</f>
        <v>16.492297996537605</v>
      </c>
      <c r="AZ419" s="403">
        <f>AZ411/AZ416*100</f>
        <v>15.061764648303674</v>
      </c>
      <c r="BA419" s="403">
        <f>BA411/BA416*100</f>
        <v>17.293116131653203</v>
      </c>
      <c r="BB419" s="403">
        <f>BB411/BB416*100</f>
        <v>17.915241297294124</v>
      </c>
      <c r="BC419" s="403">
        <f t="shared" ref="BC419:BF419" si="356">BC411/BC416*100</f>
        <v>13.508669241647384</v>
      </c>
      <c r="BD419" s="403">
        <f t="shared" si="356"/>
        <v>14.240251574698492</v>
      </c>
      <c r="BE419" s="403">
        <f t="shared" si="356"/>
        <v>12.626339246583193</v>
      </c>
      <c r="BF419" s="403">
        <f t="shared" si="356"/>
        <v>13.655069938861287</v>
      </c>
    </row>
    <row r="420" spans="37:58" ht="15.75" thickBot="1" x14ac:dyDescent="0.3">
      <c r="AK420" s="325" t="s">
        <v>26</v>
      </c>
      <c r="AL420" s="464">
        <v>825056</v>
      </c>
      <c r="AM420" s="465">
        <v>848204</v>
      </c>
      <c r="AN420" s="465">
        <v>924696</v>
      </c>
      <c r="AO420" s="465">
        <v>985514</v>
      </c>
      <c r="AP420" s="465">
        <v>997791</v>
      </c>
      <c r="AQ420" s="465">
        <v>1005984</v>
      </c>
      <c r="AR420" s="465">
        <v>1073238</v>
      </c>
      <c r="AS420" s="465">
        <v>1070624</v>
      </c>
      <c r="AT420" s="465">
        <v>1030760</v>
      </c>
      <c r="AU420" s="465">
        <v>1072544</v>
      </c>
      <c r="AV420" s="465">
        <v>1109892</v>
      </c>
      <c r="AW420" s="465">
        <v>1163376</v>
      </c>
      <c r="AX420" s="465">
        <v>1129593</v>
      </c>
      <c r="AY420" s="465">
        <v>1205011</v>
      </c>
      <c r="AZ420" s="465">
        <v>1233423</v>
      </c>
      <c r="BA420" s="465">
        <v>1292983</v>
      </c>
      <c r="BB420" s="465">
        <v>1269580</v>
      </c>
      <c r="BC420" s="465">
        <v>1292276.71</v>
      </c>
      <c r="BD420" s="465">
        <v>1306049</v>
      </c>
      <c r="BE420" s="482">
        <v>1405757</v>
      </c>
      <c r="BF420" s="467">
        <v>1431391</v>
      </c>
    </row>
    <row r="421" spans="37:58" ht="15.75" thickBot="1" x14ac:dyDescent="0.3">
      <c r="AK421" s="336" t="s">
        <v>477</v>
      </c>
      <c r="AL421" s="613">
        <f>AL414/AL420*100</f>
        <v>10.798000904628292</v>
      </c>
      <c r="AM421" s="484">
        <f t="shared" ref="AM421:BF421" si="357">AM414/AM420*100</f>
        <v>9.6367791274268928</v>
      </c>
      <c r="AN421" s="484">
        <f t="shared" si="357"/>
        <v>10.438392256373987</v>
      </c>
      <c r="AO421" s="484">
        <f t="shared" si="357"/>
        <v>10.153685218590706</v>
      </c>
      <c r="AP421" s="484">
        <f t="shared" si="357"/>
        <v>7.8229746168015151</v>
      </c>
      <c r="AQ421" s="484">
        <f t="shared" si="357"/>
        <v>6.62396178968892</v>
      </c>
      <c r="AR421" s="484">
        <f t="shared" si="357"/>
        <v>8.782957209974386</v>
      </c>
      <c r="AS421" s="484">
        <f t="shared" si="357"/>
        <v>10.103602879572101</v>
      </c>
      <c r="AT421" s="484">
        <f t="shared" si="357"/>
        <v>9.297742636501221</v>
      </c>
      <c r="AU421" s="484">
        <f t="shared" si="357"/>
        <v>3.8966233553122294</v>
      </c>
      <c r="AV421" s="484">
        <f t="shared" si="357"/>
        <v>6.2757457482349635</v>
      </c>
      <c r="AW421" s="484">
        <f t="shared" si="357"/>
        <v>7.6986288181980722</v>
      </c>
      <c r="AX421" s="484">
        <f t="shared" si="357"/>
        <v>5.3114705916201679</v>
      </c>
      <c r="AY421" s="484">
        <f t="shared" si="357"/>
        <v>7.1490633695460035</v>
      </c>
      <c r="AZ421" s="484">
        <f t="shared" si="357"/>
        <v>6.2577072099352771</v>
      </c>
      <c r="BA421" s="484">
        <f t="shared" si="357"/>
        <v>7.3384568861307535</v>
      </c>
      <c r="BB421" s="484">
        <f t="shared" si="357"/>
        <v>7.7311394319381206</v>
      </c>
      <c r="BC421" s="484">
        <f t="shared" si="357"/>
        <v>5.8694859555272805</v>
      </c>
      <c r="BD421" s="484">
        <f t="shared" si="357"/>
        <v>5.8110377175741492</v>
      </c>
      <c r="BE421" s="484">
        <f t="shared" si="357"/>
        <v>5.3596745383448203</v>
      </c>
      <c r="BF421" s="484">
        <f t="shared" si="357"/>
        <v>5.9087279436576035</v>
      </c>
    </row>
    <row r="423" spans="37:58" ht="15.75" thickBot="1" x14ac:dyDescent="0.3">
      <c r="AL423" s="1"/>
      <c r="AM423" s="1"/>
      <c r="AN423" s="1"/>
      <c r="AO423" s="1"/>
      <c r="AP423" s="1"/>
      <c r="AQ423" s="1"/>
      <c r="AR423" s="1"/>
      <c r="AS423" s="1"/>
      <c r="AT423" s="1"/>
      <c r="AU423" s="1"/>
      <c r="AV423" s="1"/>
      <c r="AW423" s="1"/>
    </row>
    <row r="424" spans="37:58" ht="15.75" thickBot="1" x14ac:dyDescent="0.3">
      <c r="AK424" s="1109" t="s">
        <v>486</v>
      </c>
      <c r="AL424" s="1110"/>
      <c r="AM424" s="1110"/>
      <c r="AN424" s="1110"/>
      <c r="AO424" s="1110"/>
      <c r="AP424" s="1110"/>
      <c r="AQ424" s="1110"/>
      <c r="AR424" s="1110"/>
      <c r="AS424" s="1110"/>
      <c r="AT424" s="1110"/>
      <c r="AU424" s="1110"/>
      <c r="AV424" s="1110"/>
      <c r="AW424" s="1110"/>
      <c r="AX424" s="1110"/>
      <c r="AY424" s="1110"/>
      <c r="AZ424" s="1110"/>
      <c r="BA424" s="1111"/>
    </row>
    <row r="425" spans="37:58" ht="15.75" thickBot="1" x14ac:dyDescent="0.3">
      <c r="AK425" s="416" t="s">
        <v>487</v>
      </c>
      <c r="AL425" s="217" t="s">
        <v>235</v>
      </c>
      <c r="AM425" s="217" t="s">
        <v>236</v>
      </c>
      <c r="AN425" s="217" t="s">
        <v>237</v>
      </c>
      <c r="AO425" s="217" t="s">
        <v>238</v>
      </c>
      <c r="AP425" s="217" t="s">
        <v>239</v>
      </c>
      <c r="AQ425" s="217" t="s">
        <v>240</v>
      </c>
      <c r="AR425" s="217" t="s">
        <v>241</v>
      </c>
      <c r="AS425" s="218" t="s">
        <v>242</v>
      </c>
      <c r="AT425" s="218" t="s">
        <v>243</v>
      </c>
      <c r="AU425" s="218" t="s">
        <v>244</v>
      </c>
      <c r="AV425" s="218" t="s">
        <v>245</v>
      </c>
      <c r="AW425" s="218" t="s">
        <v>246</v>
      </c>
      <c r="AX425" s="218" t="s">
        <v>247</v>
      </c>
      <c r="AY425" s="218" t="s">
        <v>248</v>
      </c>
      <c r="AZ425" s="218" t="s">
        <v>249</v>
      </c>
      <c r="BA425" s="218" t="s">
        <v>250</v>
      </c>
    </row>
    <row r="426" spans="37:58" x14ac:dyDescent="0.25">
      <c r="AK426" s="24" t="s">
        <v>332</v>
      </c>
      <c r="AL426" s="245">
        <f>AP393/AL393*100-100</f>
        <v>-2.1510062566251378</v>
      </c>
      <c r="AM426" s="245">
        <f t="shared" ref="AM426:AO427" si="358">AQ393/AM393*100-100</f>
        <v>10.075312008162612</v>
      </c>
      <c r="AN426" s="245">
        <f t="shared" si="358"/>
        <v>106.50952423396208</v>
      </c>
      <c r="AO426" s="245">
        <f>AS393/AO393*100-100</f>
        <v>186.90824491290812</v>
      </c>
      <c r="AP426" s="245">
        <f>AU393/AP393*100-100</f>
        <v>37.236968187960173</v>
      </c>
      <c r="AQ426" s="245">
        <f t="shared" ref="AQ426:AS427" si="359">AV393/AQ393*100-100</f>
        <v>55.797586395277619</v>
      </c>
      <c r="AR426" s="245">
        <f t="shared" si="359"/>
        <v>-15.61184855516845</v>
      </c>
      <c r="AS426" s="245">
        <f t="shared" si="359"/>
        <v>-8.8316904667324962</v>
      </c>
      <c r="AT426" s="246">
        <f>AY393/AU393*100-100</f>
        <v>41.129281086084546</v>
      </c>
      <c r="AU426" s="246">
        <f>AZ393/AV393*100-100</f>
        <v>8.7553922351813327</v>
      </c>
      <c r="AV426" s="246">
        <f t="shared" ref="AV426:BA427" si="360">BA393/AW393*100-100</f>
        <v>8.5229231299551884</v>
      </c>
      <c r="AW426" s="246">
        <f t="shared" si="360"/>
        <v>-6.8134259646773216</v>
      </c>
      <c r="AX426" s="246">
        <f t="shared" si="360"/>
        <v>139.954088325317</v>
      </c>
      <c r="AY426" s="246">
        <f t="shared" si="360"/>
        <v>250.87410019097985</v>
      </c>
      <c r="AZ426" s="246">
        <f t="shared" si="360"/>
        <v>91.876439291669982</v>
      </c>
      <c r="BA426" s="246">
        <f t="shared" si="360"/>
        <v>96.676547202012046</v>
      </c>
    </row>
    <row r="427" spans="37:58" ht="15.75" thickBot="1" x14ac:dyDescent="0.3">
      <c r="AK427" s="493" t="s">
        <v>333</v>
      </c>
      <c r="AL427" s="494">
        <f>AP394/AL394*100-100</f>
        <v>-27.177126115594987</v>
      </c>
      <c r="AM427" s="494">
        <f t="shared" si="358"/>
        <v>-34.803798740214404</v>
      </c>
      <c r="AN427" s="494">
        <f t="shared" si="358"/>
        <v>-18.843254320959062</v>
      </c>
      <c r="AO427" s="494">
        <f t="shared" si="358"/>
        <v>33.094962519843534</v>
      </c>
      <c r="AP427" s="494">
        <f>AU394/AP394*100-100</f>
        <v>3.4357586265866331</v>
      </c>
      <c r="AQ427" s="494">
        <f t="shared" si="359"/>
        <v>31.733051225459633</v>
      </c>
      <c r="AR427" s="494">
        <f>AW394/AR394*100-100</f>
        <v>12.557002461015003</v>
      </c>
      <c r="AS427" s="494">
        <f t="shared" si="359"/>
        <v>20.118727422703927</v>
      </c>
      <c r="AT427" s="533">
        <f>AY394/AU394*100-100</f>
        <v>34.852480836065183</v>
      </c>
      <c r="AU427" s="533">
        <f t="shared" ref="AU427:AW427" si="361">AZ394/AV394*100-100</f>
        <v>23.747647638677293</v>
      </c>
      <c r="AV427" s="533">
        <f t="shared" si="361"/>
        <v>-2.8011898859692508</v>
      </c>
      <c r="AW427" s="533">
        <f t="shared" si="361"/>
        <v>-14.553234244534536</v>
      </c>
      <c r="AX427" s="533">
        <f t="shared" si="360"/>
        <v>-50.889217890369395</v>
      </c>
      <c r="AY427" s="533">
        <f t="shared" si="360"/>
        <v>-50.65355927293794</v>
      </c>
      <c r="AZ427" s="533">
        <f t="shared" si="360"/>
        <v>-40.764718576501281</v>
      </c>
      <c r="BA427" s="533">
        <f t="shared" si="360"/>
        <v>-41.165737455651296</v>
      </c>
    </row>
    <row r="428" spans="37:58" ht="15.75" thickBot="1" x14ac:dyDescent="0.3">
      <c r="AK428" s="431" t="s">
        <v>362</v>
      </c>
      <c r="AL428" s="621">
        <f>AP397/AL397*100-100</f>
        <v>-25.118758902140485</v>
      </c>
      <c r="AM428" s="621">
        <f t="shared" ref="AM428:AO428" si="362">AQ397/AM397*100-100</f>
        <v>-31.859000135484152</v>
      </c>
      <c r="AN428" s="621">
        <f t="shared" si="362"/>
        <v>-5.8152038401908328</v>
      </c>
      <c r="AO428" s="621">
        <f t="shared" si="362"/>
        <v>50.366756225451837</v>
      </c>
      <c r="AP428" s="621">
        <f>AU397/AP397*100-100</f>
        <v>7.0685872181690712</v>
      </c>
      <c r="AQ428" s="621">
        <f t="shared" ref="AQ428:AS428" si="363">AV397/AQ397*100-100</f>
        <v>34.283815091281099</v>
      </c>
      <c r="AR428" s="621">
        <f t="shared" si="363"/>
        <v>6.1379062571313909</v>
      </c>
      <c r="AS428" s="621">
        <f t="shared" si="363"/>
        <v>13.915900878344715</v>
      </c>
      <c r="AT428" s="622">
        <f>AY397/AU397*100-100</f>
        <v>35.717169999787473</v>
      </c>
      <c r="AU428" s="622">
        <f t="shared" ref="AU428:BA428" si="364">AZ397/AV397*100-100</f>
        <v>21.903919834954323</v>
      </c>
      <c r="AV428" s="622">
        <f t="shared" si="364"/>
        <v>-0.74946132467289317</v>
      </c>
      <c r="AW428" s="622">
        <f t="shared" si="364"/>
        <v>-13.226070357240246</v>
      </c>
      <c r="AX428" s="622">
        <f t="shared" si="364"/>
        <v>-23.550321802721612</v>
      </c>
      <c r="AY428" s="622">
        <f t="shared" si="364"/>
        <v>-17.571684154537976</v>
      </c>
      <c r="AZ428" s="622">
        <f t="shared" si="364"/>
        <v>-14.487304533870301</v>
      </c>
      <c r="BA428" s="622">
        <f t="shared" si="364"/>
        <v>-15.782857520923628</v>
      </c>
    </row>
    <row r="429" spans="37:58" ht="15.75" thickBot="1" x14ac:dyDescent="0.3">
      <c r="AK429" s="157" t="s">
        <v>488</v>
      </c>
      <c r="AL429" s="217" t="s">
        <v>235</v>
      </c>
      <c r="AM429" s="217" t="s">
        <v>236</v>
      </c>
      <c r="AN429" s="217" t="s">
        <v>237</v>
      </c>
      <c r="AO429" s="217" t="s">
        <v>238</v>
      </c>
      <c r="AP429" s="217" t="s">
        <v>239</v>
      </c>
      <c r="AQ429" s="217" t="s">
        <v>240</v>
      </c>
      <c r="AR429" s="217" t="s">
        <v>241</v>
      </c>
      <c r="AS429" s="3" t="s">
        <v>242</v>
      </c>
      <c r="AT429" s="3" t="s">
        <v>243</v>
      </c>
      <c r="AU429" s="3" t="s">
        <v>244</v>
      </c>
      <c r="AV429" s="3" t="s">
        <v>245</v>
      </c>
      <c r="AW429" s="3" t="s">
        <v>246</v>
      </c>
      <c r="AX429" s="3" t="s">
        <v>247</v>
      </c>
      <c r="AY429" s="3" t="s">
        <v>248</v>
      </c>
      <c r="AZ429" s="218" t="s">
        <v>249</v>
      </c>
      <c r="BA429" s="218" t="s">
        <v>250</v>
      </c>
    </row>
    <row r="430" spans="37:58" x14ac:dyDescent="0.25">
      <c r="AK430" s="24" t="s">
        <v>332</v>
      </c>
      <c r="AL430" s="245">
        <f>AP410/AL410*100-100</f>
        <v>-23.133106955036851</v>
      </c>
      <c r="AM430" s="245">
        <f t="shared" ref="AM430:AO431" si="365">AQ410/AM410*100-100</f>
        <v>-35.632372592315676</v>
      </c>
      <c r="AN430" s="245">
        <f t="shared" si="365"/>
        <v>216.74099845917027</v>
      </c>
      <c r="AO430" s="245">
        <f t="shared" si="365"/>
        <v>-54.258524952600283</v>
      </c>
      <c r="AP430" s="245">
        <f>AU410/AP410*100-100</f>
        <v>560.49578391812315</v>
      </c>
      <c r="AQ430" s="245">
        <f t="shared" ref="AQ430:AS431" si="366">AV410/AQ410*100-100</f>
        <v>-26.507461654187352</v>
      </c>
      <c r="AR430" s="245">
        <f t="shared" si="366"/>
        <v>-82.168330955777463</v>
      </c>
      <c r="AS430" s="245">
        <f t="shared" si="366"/>
        <v>2154.6912985736744</v>
      </c>
      <c r="AT430" s="246">
        <f>AY410/AU410*100-100</f>
        <v>-74.38625204582651</v>
      </c>
      <c r="AU430" s="246">
        <f t="shared" ref="AU430:BA431" si="367">AZ410/AV410*100-100</f>
        <v>190.58823529411762</v>
      </c>
      <c r="AV430" s="246">
        <f t="shared" si="367"/>
        <v>207.2</v>
      </c>
      <c r="AW430" s="246">
        <f t="shared" si="367"/>
        <v>-76.452464788732385</v>
      </c>
      <c r="AX430" s="246">
        <f t="shared" si="367"/>
        <v>1.2779552715654887</v>
      </c>
      <c r="AY430" s="246">
        <f t="shared" si="367"/>
        <v>46.558704453441294</v>
      </c>
      <c r="AZ430" s="246">
        <f t="shared" si="367"/>
        <v>14.322916666666671</v>
      </c>
      <c r="BA430" s="246">
        <f t="shared" si="367"/>
        <v>-25.607476635514018</v>
      </c>
    </row>
    <row r="431" spans="37:58" ht="15.75" thickBot="1" x14ac:dyDescent="0.3">
      <c r="AK431" s="493" t="s">
        <v>333</v>
      </c>
      <c r="AL431" s="494">
        <f>AP411/AL411*100-100</f>
        <v>-12.354618671828163</v>
      </c>
      <c r="AM431" s="494">
        <f t="shared" si="365"/>
        <v>-18.439860368112136</v>
      </c>
      <c r="AN431" s="494">
        <f t="shared" si="365"/>
        <v>-2.8462987610724895</v>
      </c>
      <c r="AO431" s="494">
        <f t="shared" si="365"/>
        <v>8.2378502738603743</v>
      </c>
      <c r="AP431" s="494">
        <f>AU411/AP411*100-100</f>
        <v>-47.900349892397557</v>
      </c>
      <c r="AQ431" s="494">
        <f t="shared" si="366"/>
        <v>4.5830528403797643</v>
      </c>
      <c r="AR431" s="494">
        <f t="shared" si="366"/>
        <v>-4.4057169012428261</v>
      </c>
      <c r="AS431" s="494">
        <f t="shared" si="366"/>
        <v>-46.585031128347168</v>
      </c>
      <c r="AT431" s="533">
        <f>AY411/AU411*100-100</f>
        <v>111.56491089694609</v>
      </c>
      <c r="AU431" s="533">
        <f t="shared" si="367"/>
        <v>10.590924118501064</v>
      </c>
      <c r="AV431" s="533">
        <f t="shared" si="367"/>
        <v>5.6597233868893824</v>
      </c>
      <c r="AW431" s="533">
        <f t="shared" si="367"/>
        <v>69.105775560406045</v>
      </c>
      <c r="AX431" s="533">
        <f t="shared" si="367"/>
        <v>-12.001071836335257</v>
      </c>
      <c r="AY431" s="533">
        <f t="shared" si="367"/>
        <v>-1.8248696985845498</v>
      </c>
      <c r="AZ431" s="533">
        <f t="shared" si="367"/>
        <v>-20.736288504883547</v>
      </c>
      <c r="BA431" s="533">
        <f t="shared" si="367"/>
        <v>-13.766928230449309</v>
      </c>
    </row>
    <row r="432" spans="37:58" ht="15.75" thickBot="1" x14ac:dyDescent="0.3">
      <c r="AK432" s="431" t="s">
        <v>363</v>
      </c>
      <c r="AL432" s="623">
        <f>AP414/AL414*100-100</f>
        <v>-12.383738774130947</v>
      </c>
      <c r="AM432" s="623">
        <f t="shared" ref="AM432:AO432" si="368">AQ414/AM414*100-100</f>
        <v>-18.477653710081171</v>
      </c>
      <c r="AN432" s="623">
        <f t="shared" si="368"/>
        <v>-2.3428116493167011</v>
      </c>
      <c r="AO432" s="623">
        <f t="shared" si="368"/>
        <v>8.1002626379784033</v>
      </c>
      <c r="AP432" s="623">
        <f>AU414/AP414*100-100</f>
        <v>-46.458313906524786</v>
      </c>
      <c r="AQ432" s="623">
        <f t="shared" ref="AQ432:AS432" si="369">AV414/AQ414*100-100</f>
        <v>4.5290900131744252</v>
      </c>
      <c r="AR432" s="623">
        <f t="shared" si="369"/>
        <v>-4.9840153949720616</v>
      </c>
      <c r="AS432" s="623">
        <f t="shared" si="369"/>
        <v>-44.534423544408298</v>
      </c>
      <c r="AT432" s="624">
        <f>AY414/AU414*100-100</f>
        <v>106.12782044840046</v>
      </c>
      <c r="AU432" s="624">
        <f t="shared" ref="AU432:BA432" si="370">AZ414/AV414*100-100</f>
        <v>10.810577999827714</v>
      </c>
      <c r="AV432" s="624">
        <f t="shared" si="370"/>
        <v>5.9410030815952837</v>
      </c>
      <c r="AW432" s="624">
        <f t="shared" si="370"/>
        <v>63.593786459548653</v>
      </c>
      <c r="AX432" s="624">
        <f t="shared" si="370"/>
        <v>-11.952824822686807</v>
      </c>
      <c r="AY432" s="624">
        <f t="shared" si="370"/>
        <v>-1.6700352404643439</v>
      </c>
      <c r="AZ432" s="624">
        <f t="shared" si="370"/>
        <v>-20.594403751910207</v>
      </c>
      <c r="BA432" s="624">
        <f t="shared" si="370"/>
        <v>-13.831467199168642</v>
      </c>
    </row>
    <row r="433" spans="10:83" ht="15.75" thickBot="1" x14ac:dyDescent="0.3"/>
    <row r="434" spans="10:83" ht="15.75" thickBot="1" x14ac:dyDescent="0.3">
      <c r="AK434" s="1109" t="s">
        <v>489</v>
      </c>
      <c r="AL434" s="1110"/>
      <c r="AM434" s="1110"/>
      <c r="AN434" s="1110"/>
      <c r="AO434" s="1110"/>
      <c r="AP434" s="1110"/>
      <c r="AQ434" s="1110"/>
      <c r="AR434" s="1110"/>
      <c r="AS434" s="1110"/>
      <c r="AT434" s="1110"/>
      <c r="AU434" s="1110"/>
      <c r="AV434" s="1110"/>
      <c r="AW434" s="1110"/>
      <c r="AX434" s="1110"/>
      <c r="AY434" s="1110"/>
      <c r="AZ434" s="1110"/>
      <c r="BA434" s="1111"/>
    </row>
    <row r="435" spans="10:83" ht="15.75" thickBot="1" x14ac:dyDescent="0.3">
      <c r="AK435" s="416" t="s">
        <v>490</v>
      </c>
      <c r="AL435" s="217" t="s">
        <v>269</v>
      </c>
      <c r="AM435" s="217" t="s">
        <v>270</v>
      </c>
      <c r="AN435" s="217" t="s">
        <v>271</v>
      </c>
      <c r="AO435" s="217" t="s">
        <v>272</v>
      </c>
      <c r="AP435" s="217" t="s">
        <v>273</v>
      </c>
      <c r="AQ435" s="217" t="s">
        <v>274</v>
      </c>
      <c r="AR435" s="217" t="s">
        <v>275</v>
      </c>
      <c r="AS435" s="217" t="s">
        <v>276</v>
      </c>
      <c r="AT435" s="218" t="s">
        <v>277</v>
      </c>
      <c r="AU435" s="218" t="s">
        <v>278</v>
      </c>
      <c r="AV435" s="218" t="s">
        <v>279</v>
      </c>
      <c r="AW435" s="218" t="s">
        <v>280</v>
      </c>
      <c r="AX435" s="218" t="s">
        <v>340</v>
      </c>
      <c r="AY435" s="218" t="s">
        <v>281</v>
      </c>
      <c r="AZ435" s="218" t="s">
        <v>282</v>
      </c>
      <c r="BA435" s="218" t="s">
        <v>283</v>
      </c>
    </row>
    <row r="436" spans="10:83" x14ac:dyDescent="0.25">
      <c r="AK436" s="24" t="s">
        <v>342</v>
      </c>
      <c r="AL436" s="245">
        <f>AP393/AO393*100-100</f>
        <v>3.4108192451067936</v>
      </c>
      <c r="AM436" s="245">
        <f t="shared" ref="AM436:AO437" si="371">AQ393/AP393*100-100</f>
        <v>-14.943733695915</v>
      </c>
      <c r="AN436" s="245">
        <f t="shared" si="371"/>
        <v>242.28039169280294</v>
      </c>
      <c r="AO436" s="245">
        <f t="shared" si="371"/>
        <v>-4.7009184569600109</v>
      </c>
      <c r="AP436" s="245">
        <f>AU393/AS393*100-100</f>
        <v>-50.535449703302923</v>
      </c>
      <c r="AQ436" s="245">
        <f>AV393/AU393*100-100</f>
        <v>-3.4402962048750396</v>
      </c>
      <c r="AR436" s="245">
        <f t="shared" ref="AR436:BA437" si="372">AW393/AV393*100-100</f>
        <v>85.397028279277833</v>
      </c>
      <c r="AS436" s="245">
        <f t="shared" si="372"/>
        <v>2.9558772836952869</v>
      </c>
      <c r="AT436" s="245">
        <f t="shared" si="372"/>
        <v>-23.428475767975215</v>
      </c>
      <c r="AU436" s="245">
        <f t="shared" si="372"/>
        <v>-25.590292960209879</v>
      </c>
      <c r="AV436" s="245">
        <f t="shared" si="372"/>
        <v>85.000734537975603</v>
      </c>
      <c r="AW436" s="246">
        <f t="shared" si="372"/>
        <v>-11.593742555387905</v>
      </c>
      <c r="AX436" s="246">
        <f t="shared" si="372"/>
        <v>97.170573969280525</v>
      </c>
      <c r="AY436" s="246">
        <f t="shared" si="372"/>
        <v>8.805976948658369</v>
      </c>
      <c r="AZ436" s="246">
        <f t="shared" si="372"/>
        <v>1.1681460391894234</v>
      </c>
      <c r="BA436" s="246">
        <f t="shared" si="372"/>
        <v>-9.3821131482017961</v>
      </c>
    </row>
    <row r="437" spans="10:83" ht="15.75" thickBot="1" x14ac:dyDescent="0.3">
      <c r="AK437" s="493" t="s">
        <v>343</v>
      </c>
      <c r="AL437" s="365">
        <f>AP394/AO394*100-100</f>
        <v>8.629025637866647</v>
      </c>
      <c r="AM437" s="365">
        <f t="shared" si="371"/>
        <v>-13.613573450648218</v>
      </c>
      <c r="AN437" s="365">
        <f t="shared" si="371"/>
        <v>37.50427788187298</v>
      </c>
      <c r="AO437" s="365">
        <f t="shared" si="371"/>
        <v>3.1463858013582353</v>
      </c>
      <c r="AP437" s="365">
        <f>AU394/AS394*100-100</f>
        <v>-15.578129607689405</v>
      </c>
      <c r="AQ437" s="365">
        <f>AV394/AU394*100-100</f>
        <v>10.019472036676433</v>
      </c>
      <c r="AR437" s="365">
        <f t="shared" si="372"/>
        <v>17.488126176180657</v>
      </c>
      <c r="AS437" s="365">
        <f t="shared" si="372"/>
        <v>10.07589336791122</v>
      </c>
      <c r="AT437" s="365">
        <f t="shared" si="372"/>
        <v>-5.2229497973183641</v>
      </c>
      <c r="AU437" s="365">
        <f t="shared" si="372"/>
        <v>0.95958765147776148</v>
      </c>
      <c r="AV437" s="365">
        <f t="shared" si="372"/>
        <v>-7.7177927438626881</v>
      </c>
      <c r="AW437" s="538">
        <f t="shared" si="372"/>
        <v>-3.233084181821738</v>
      </c>
      <c r="AX437" s="538">
        <f t="shared" si="372"/>
        <v>-45.526609224531164</v>
      </c>
      <c r="AY437" s="538">
        <f t="shared" si="372"/>
        <v>1.4440433212996311</v>
      </c>
      <c r="AZ437" s="538">
        <f t="shared" si="372"/>
        <v>10.775213706570796</v>
      </c>
      <c r="BA437" s="538">
        <f t="shared" si="372"/>
        <v>-3.8881897065642193</v>
      </c>
    </row>
    <row r="438" spans="10:83" ht="15.75" thickBot="1" x14ac:dyDescent="0.3">
      <c r="AK438" s="431" t="s">
        <v>362</v>
      </c>
      <c r="AL438" s="417">
        <f>AP397/AO397*100-100</f>
        <v>8.0430698418079203</v>
      </c>
      <c r="AM438" s="417">
        <f t="shared" ref="AM438:AO438" si="373">AQ397/AP397*100-100</f>
        <v>-13.756534138537717</v>
      </c>
      <c r="AN438" s="417">
        <f t="shared" si="373"/>
        <v>59.209891890465343</v>
      </c>
      <c r="AO438" s="417">
        <f t="shared" si="373"/>
        <v>1.3581481147606951</v>
      </c>
      <c r="AP438" s="417">
        <f>AU397/AS397*100-100</f>
        <v>-23.067976346235213</v>
      </c>
      <c r="AQ438" s="417">
        <f>AV397/AU397*100-100</f>
        <v>8.16526045098081</v>
      </c>
      <c r="AR438" s="417">
        <f t="shared" ref="AR438:BA438" si="374">AW397/AV397*100-100</f>
        <v>25.83947342568031</v>
      </c>
      <c r="AS438" s="417">
        <f t="shared" si="374"/>
        <v>8.7858726540299301</v>
      </c>
      <c r="AT438" s="417">
        <f t="shared" si="374"/>
        <v>-8.3446959367330322</v>
      </c>
      <c r="AU438" s="417">
        <f t="shared" si="374"/>
        <v>-2.8437651701404718</v>
      </c>
      <c r="AV438" s="417">
        <f t="shared" si="374"/>
        <v>2.4547491256064404</v>
      </c>
      <c r="AW438" s="625">
        <f t="shared" si="374"/>
        <v>-4.8894062863795114</v>
      </c>
      <c r="AX438" s="625">
        <f t="shared" si="374"/>
        <v>-19.249727083264418</v>
      </c>
      <c r="AY438" s="625">
        <f t="shared" si="374"/>
        <v>4.7541990987300267</v>
      </c>
      <c r="AZ438" s="625">
        <f t="shared" si="374"/>
        <v>6.2884965096498036</v>
      </c>
      <c r="BA438" s="625">
        <f t="shared" si="374"/>
        <v>-6.3303714333020622</v>
      </c>
    </row>
    <row r="439" spans="10:83" ht="15.75" thickBot="1" x14ac:dyDescent="0.3">
      <c r="AK439" s="157" t="s">
        <v>491</v>
      </c>
      <c r="AL439" s="257" t="s">
        <v>269</v>
      </c>
      <c r="AM439" s="257" t="s">
        <v>270</v>
      </c>
      <c r="AN439" s="257" t="s">
        <v>271</v>
      </c>
      <c r="AO439" s="257" t="s">
        <v>272</v>
      </c>
      <c r="AP439" s="257" t="s">
        <v>273</v>
      </c>
      <c r="AQ439" s="257" t="s">
        <v>274</v>
      </c>
      <c r="AR439" s="257" t="s">
        <v>275</v>
      </c>
      <c r="AS439" s="257" t="s">
        <v>276</v>
      </c>
      <c r="AT439" s="3" t="s">
        <v>277</v>
      </c>
      <c r="AU439" s="3" t="s">
        <v>278</v>
      </c>
      <c r="AV439" s="3" t="s">
        <v>279</v>
      </c>
      <c r="AW439" s="3" t="s">
        <v>280</v>
      </c>
      <c r="AX439" s="3" t="s">
        <v>340</v>
      </c>
      <c r="AY439" s="3" t="s">
        <v>281</v>
      </c>
      <c r="AZ439" s="3" t="s">
        <v>282</v>
      </c>
      <c r="BA439" s="3" t="s">
        <v>283</v>
      </c>
    </row>
    <row r="440" spans="10:83" x14ac:dyDescent="0.25">
      <c r="AK440" s="24" t="s">
        <v>342</v>
      </c>
      <c r="AL440" s="245">
        <f>AP410/AO410*100-100</f>
        <v>-16.01725157497043</v>
      </c>
      <c r="AM440" s="245">
        <f t="shared" ref="AM440:AO441" si="375">AQ410/AP410*100-100</f>
        <v>-37.486398218983396</v>
      </c>
      <c r="AN440" s="245">
        <f t="shared" si="375"/>
        <v>506.09728682840785</v>
      </c>
      <c r="AO440" s="245">
        <f t="shared" si="375"/>
        <v>-85.625153352353777</v>
      </c>
      <c r="AP440" s="245">
        <f>AU410/AS410*100-100</f>
        <v>1112.6904783701718</v>
      </c>
      <c r="AQ440" s="245">
        <f>AV410/AU410*100-100</f>
        <v>-93.044189852700498</v>
      </c>
      <c r="AR440" s="245">
        <f t="shared" ref="AR440:BA441" si="376">AW410/AV410*100-100</f>
        <v>47.058823529411768</v>
      </c>
      <c r="AS440" s="245">
        <f t="shared" si="376"/>
        <v>1717.6</v>
      </c>
      <c r="AT440" s="245">
        <f t="shared" si="376"/>
        <v>-86.223591549295776</v>
      </c>
      <c r="AU440" s="245">
        <f t="shared" si="376"/>
        <v>-21.08626198083067</v>
      </c>
      <c r="AV440" s="245">
        <f t="shared" si="376"/>
        <v>55.465587044534402</v>
      </c>
      <c r="AW440" s="246">
        <f t="shared" si="376"/>
        <v>39.322916666666686</v>
      </c>
      <c r="AX440" s="246">
        <f t="shared" si="376"/>
        <v>-40.747663551401871</v>
      </c>
      <c r="AY440" s="246">
        <f t="shared" si="376"/>
        <v>14.195583596214504</v>
      </c>
      <c r="AZ440" s="246">
        <f t="shared" si="376"/>
        <v>21.270718232044203</v>
      </c>
      <c r="BA440" s="246">
        <f t="shared" si="376"/>
        <v>-9.3394077448747197</v>
      </c>
    </row>
    <row r="441" spans="10:83" ht="15.75" thickBot="1" x14ac:dyDescent="0.3">
      <c r="AK441" s="493" t="s">
        <v>343</v>
      </c>
      <c r="AL441" s="365">
        <f>AP411/AO411*100-100</f>
        <v>-22.007726844550973</v>
      </c>
      <c r="AM441" s="365">
        <f t="shared" si="375"/>
        <v>-14.577251660630793</v>
      </c>
      <c r="AN441" s="365">
        <f t="shared" si="375"/>
        <v>40.650269432094802</v>
      </c>
      <c r="AO441" s="365">
        <f t="shared" si="375"/>
        <v>15.508374213239478</v>
      </c>
      <c r="AP441" s="365">
        <f>AU411/AS411*100-100</f>
        <v>-62.458879844579087</v>
      </c>
      <c r="AQ441" s="365">
        <f>AV411/AU411*100-100</f>
        <v>71.474698676394468</v>
      </c>
      <c r="AR441" s="365">
        <f t="shared" si="376"/>
        <v>28.561571964524433</v>
      </c>
      <c r="AS441" s="365">
        <f t="shared" si="376"/>
        <v>-35.457686244255854</v>
      </c>
      <c r="AT441" s="365">
        <f t="shared" si="376"/>
        <v>48.692097148598549</v>
      </c>
      <c r="AU441" s="365">
        <f t="shared" si="376"/>
        <v>-10.365356385581464</v>
      </c>
      <c r="AV441" s="365">
        <f t="shared" si="376"/>
        <v>22.829067938703091</v>
      </c>
      <c r="AW441" s="538">
        <f t="shared" si="376"/>
        <v>3.2983777949439741</v>
      </c>
      <c r="AX441" s="538">
        <f t="shared" si="376"/>
        <v>-22.623901329672805</v>
      </c>
      <c r="AY441" s="538">
        <f t="shared" si="376"/>
        <v>0</v>
      </c>
      <c r="AZ441" s="538">
        <f t="shared" si="376"/>
        <v>-0.8314246753074741</v>
      </c>
      <c r="BA441" s="538">
        <f t="shared" si="376"/>
        <v>12.381015953541151</v>
      </c>
    </row>
    <row r="442" spans="10:83" ht="15.75" thickBot="1" x14ac:dyDescent="0.3">
      <c r="AK442" s="431" t="s">
        <v>363</v>
      </c>
      <c r="AL442" s="417">
        <f>AP414/AO414*100-100</f>
        <v>-21.994538634400158</v>
      </c>
      <c r="AM442" s="417">
        <f t="shared" ref="AM442:AO442" si="377">AQ414/AP414*100-100</f>
        <v>-14.631551502307744</v>
      </c>
      <c r="AN442" s="417">
        <f t="shared" si="377"/>
        <v>41.45813116681731</v>
      </c>
      <c r="AO442" s="417">
        <f t="shared" si="377"/>
        <v>14.756272867781988</v>
      </c>
      <c r="AP442" s="417">
        <f>AU414/AS414*100-100</f>
        <v>-61.364164858686223</v>
      </c>
      <c r="AQ442" s="417">
        <f>AV414/AU414*100-100</f>
        <v>66.664273921470084</v>
      </c>
      <c r="AR442" s="417">
        <f t="shared" ref="AR442:BA442" si="378">AW414/AV414*100-100</f>
        <v>28.584144485600262</v>
      </c>
      <c r="AS442" s="417">
        <f t="shared" si="378"/>
        <v>-33.01103121790004</v>
      </c>
      <c r="AT442" s="417">
        <f t="shared" si="378"/>
        <v>43.583119437314593</v>
      </c>
      <c r="AU442" s="417">
        <f t="shared" si="378"/>
        <v>-10.404308913833333</v>
      </c>
      <c r="AV442" s="417">
        <f t="shared" si="378"/>
        <v>22.933509535655048</v>
      </c>
      <c r="AW442" s="625">
        <f t="shared" si="378"/>
        <v>3.4441692575222618</v>
      </c>
      <c r="AX442" s="625">
        <f t="shared" si="378"/>
        <v>-22.7226880482512</v>
      </c>
      <c r="AY442" s="625">
        <f t="shared" si="378"/>
        <v>5.9327620303236017E-2</v>
      </c>
      <c r="AZ442" s="625">
        <f t="shared" si="378"/>
        <v>-0.72600303050266746</v>
      </c>
      <c r="BA442" s="625">
        <f t="shared" si="378"/>
        <v>12.254459545551072</v>
      </c>
    </row>
    <row r="444" spans="10:83" ht="15.75" thickBot="1" x14ac:dyDescent="0.3"/>
    <row r="445" spans="10:83" ht="19.5" thickBot="1" x14ac:dyDescent="0.35">
      <c r="AK445" s="1112" t="s">
        <v>492</v>
      </c>
      <c r="AL445" s="1113"/>
      <c r="AM445" s="1113"/>
      <c r="AN445" s="1113"/>
      <c r="AO445" s="1113"/>
      <c r="AP445" s="1113"/>
      <c r="AQ445" s="1113"/>
      <c r="AR445" s="1113"/>
      <c r="AS445" s="1113"/>
      <c r="AT445" s="1113"/>
      <c r="AU445" s="1113"/>
      <c r="AV445" s="1113"/>
      <c r="AW445" s="1113"/>
      <c r="AX445" s="1113"/>
      <c r="AY445" s="1113"/>
      <c r="AZ445" s="1113"/>
      <c r="BA445" s="1113"/>
      <c r="BB445" s="1113"/>
      <c r="BC445" s="1113"/>
      <c r="BD445" s="1113"/>
      <c r="BE445" s="1113"/>
      <c r="BF445" s="1113"/>
      <c r="BG445" s="1114"/>
    </row>
    <row r="446" spans="10:83" ht="15.75" thickBot="1" x14ac:dyDescent="0.3"/>
    <row r="447" spans="10:83" ht="15.75" thickBot="1" x14ac:dyDescent="0.3">
      <c r="J447" s="157" t="s">
        <v>493</v>
      </c>
      <c r="K447" s="34" t="s">
        <v>0</v>
      </c>
      <c r="L447" s="35" t="s">
        <v>1</v>
      </c>
      <c r="M447" s="35" t="s">
        <v>2</v>
      </c>
      <c r="N447" s="35" t="s">
        <v>3</v>
      </c>
      <c r="O447" s="35" t="s">
        <v>4</v>
      </c>
      <c r="P447" s="35" t="s">
        <v>5</v>
      </c>
      <c r="Q447" s="35" t="s">
        <v>6</v>
      </c>
      <c r="R447" s="35" t="s">
        <v>7</v>
      </c>
      <c r="S447" s="35" t="s">
        <v>27</v>
      </c>
      <c r="T447" s="35" t="s">
        <v>9</v>
      </c>
      <c r="U447" s="35" t="s">
        <v>10</v>
      </c>
      <c r="V447" s="176" t="s">
        <v>11</v>
      </c>
      <c r="W447" s="176" t="s">
        <v>12</v>
      </c>
      <c r="X447" s="369" t="s">
        <v>13</v>
      </c>
      <c r="Y447" s="176" t="s">
        <v>14</v>
      </c>
      <c r="Z447" s="176" t="s">
        <v>15</v>
      </c>
      <c r="AA447" s="176" t="s">
        <v>16</v>
      </c>
      <c r="AB447" s="176" t="s">
        <v>17</v>
      </c>
      <c r="AC447" s="176" t="s">
        <v>18</v>
      </c>
      <c r="AD447" s="176" t="s">
        <v>19</v>
      </c>
      <c r="AE447" s="176" t="s">
        <v>20</v>
      </c>
      <c r="AF447" s="35" t="s">
        <v>201</v>
      </c>
      <c r="AG447" s="35" t="s">
        <v>57</v>
      </c>
      <c r="AH447" s="36" t="s">
        <v>58</v>
      </c>
      <c r="AI447" s="369" t="s">
        <v>59</v>
      </c>
      <c r="AK447" s="67" t="s">
        <v>494</v>
      </c>
      <c r="AL447" s="77" t="s">
        <v>0</v>
      </c>
      <c r="AM447" s="31" t="s">
        <v>1</v>
      </c>
      <c r="AN447" s="31" t="s">
        <v>2</v>
      </c>
      <c r="AO447" s="31" t="s">
        <v>3</v>
      </c>
      <c r="AP447" s="31" t="s">
        <v>4</v>
      </c>
      <c r="AQ447" s="31" t="s">
        <v>5</v>
      </c>
      <c r="AR447" s="31" t="s">
        <v>6</v>
      </c>
      <c r="AS447" s="31" t="s">
        <v>7</v>
      </c>
      <c r="AT447" s="31" t="s">
        <v>27</v>
      </c>
      <c r="AU447" s="31" t="s">
        <v>9</v>
      </c>
      <c r="AV447" s="31" t="s">
        <v>10</v>
      </c>
      <c r="AW447" s="31" t="s">
        <v>11</v>
      </c>
      <c r="AX447" s="31" t="s">
        <v>12</v>
      </c>
      <c r="AY447" s="31" t="s">
        <v>13</v>
      </c>
      <c r="AZ447" s="31" t="s">
        <v>14</v>
      </c>
      <c r="BA447" s="31" t="s">
        <v>15</v>
      </c>
      <c r="BB447" s="31" t="s">
        <v>16</v>
      </c>
      <c r="BC447" s="31" t="s">
        <v>17</v>
      </c>
      <c r="BD447" s="31" t="s">
        <v>18</v>
      </c>
      <c r="BE447" s="526" t="s">
        <v>300</v>
      </c>
      <c r="BF447" s="31" t="s">
        <v>203</v>
      </c>
      <c r="BG447" s="509" t="s">
        <v>201</v>
      </c>
      <c r="BM447" s="77" t="s">
        <v>0</v>
      </c>
      <c r="BN447" s="31" t="s">
        <v>1</v>
      </c>
      <c r="BO447" s="31" t="s">
        <v>2</v>
      </c>
      <c r="BP447" s="31" t="s">
        <v>3</v>
      </c>
      <c r="BQ447" s="31" t="s">
        <v>4</v>
      </c>
      <c r="BR447" s="31" t="s">
        <v>5</v>
      </c>
      <c r="BS447" s="31" t="s">
        <v>6</v>
      </c>
      <c r="BT447" s="31" t="s">
        <v>7</v>
      </c>
      <c r="BU447" s="31" t="s">
        <v>8</v>
      </c>
      <c r="BV447" s="31" t="s">
        <v>10</v>
      </c>
      <c r="BW447" s="31" t="s">
        <v>11</v>
      </c>
      <c r="BX447" s="509" t="s">
        <v>12</v>
      </c>
      <c r="BZ447" s="96"/>
      <c r="CA447" s="96"/>
      <c r="CB447" s="96"/>
      <c r="CC447" s="96"/>
      <c r="CD447" s="96"/>
      <c r="CE447" s="96"/>
    </row>
    <row r="448" spans="10:83" ht="15.75" thickBot="1" x14ac:dyDescent="0.3">
      <c r="J448" s="574" t="s">
        <v>495</v>
      </c>
      <c r="K448" s="626">
        <v>409870.76179899997</v>
      </c>
      <c r="L448" s="626">
        <v>428995.39824894193</v>
      </c>
      <c r="M448" s="626">
        <v>474601.58699600003</v>
      </c>
      <c r="N448" s="626">
        <v>525589.42417999986</v>
      </c>
      <c r="O448" s="626">
        <v>563899.78637700004</v>
      </c>
      <c r="P448" s="626">
        <v>580483.56628499995</v>
      </c>
      <c r="Q448" s="626">
        <v>597954.99838400004</v>
      </c>
      <c r="R448" s="626">
        <v>564749.78803599998</v>
      </c>
      <c r="S448" s="626">
        <v>533598.98600000003</v>
      </c>
      <c r="T448" s="626">
        <v>571979</v>
      </c>
      <c r="U448" s="626">
        <v>595982</v>
      </c>
      <c r="V448" s="626">
        <v>616108</v>
      </c>
      <c r="W448" s="626">
        <v>571881</v>
      </c>
      <c r="X448" s="626">
        <v>627368</v>
      </c>
      <c r="Y448" s="626">
        <v>623398</v>
      </c>
      <c r="Z448" s="626">
        <v>692486</v>
      </c>
      <c r="AA448" s="626">
        <v>671876</v>
      </c>
      <c r="AB448" s="626">
        <f>'[15]2020. I. Állomány adatok'!I18+'[15]2020. I. Állomány adatok'!I65</f>
        <v>672235</v>
      </c>
      <c r="AC448" s="626">
        <f>'[15]2020. II. Állományi adatok'!I18+'[15]2020. II. Állományi adatok'!I65</f>
        <v>718329</v>
      </c>
      <c r="AD448" s="626">
        <v>756980</v>
      </c>
      <c r="AE448" s="626">
        <v>761632</v>
      </c>
      <c r="AF448" s="626">
        <v>769103</v>
      </c>
      <c r="AG448" s="626"/>
      <c r="AH448" s="626"/>
      <c r="AI448" s="626"/>
      <c r="AK448" s="279" t="s">
        <v>34</v>
      </c>
      <c r="AL448" s="539">
        <f>'[15]2016. I. - Állományi'!G37</f>
        <v>105240.574857</v>
      </c>
      <c r="AM448" s="359">
        <f>'[15]2016. II. - Állományi'!G37</f>
        <v>119868.317177</v>
      </c>
      <c r="AN448" s="359">
        <f>'[15]2016. III. - Állományi'!G37</f>
        <v>155555.96921099999</v>
      </c>
      <c r="AO448" s="359">
        <f>'[15]2016. IV.- Állományi'!G37</f>
        <v>248426.11516799999</v>
      </c>
      <c r="AP448" s="359">
        <f>'[15]2017. I. - Állományi'!G37</f>
        <v>288234.02015500003</v>
      </c>
      <c r="AQ448" s="359">
        <f>'[15]2017. II. - Állományi'!G37</f>
        <v>308685.35731700005</v>
      </c>
      <c r="AR448" s="359">
        <f>'[15]2017. III. - Állományi'!G37</f>
        <v>322234.58346400002</v>
      </c>
      <c r="AS448" s="359">
        <f>'[15]2017. IV. - Állományi'!G37</f>
        <v>298326.83386200003</v>
      </c>
      <c r="AT448" s="359">
        <f>'[15]2018. I. - Állományi_R'!G38</f>
        <v>290612</v>
      </c>
      <c r="AU448" s="359">
        <f>'[15]2018. I. - Állományi_Új'!G14</f>
        <v>312059</v>
      </c>
      <c r="AV448" s="359">
        <f>'[15]2018. II. - Állományi_Új'!G14</f>
        <v>325794</v>
      </c>
      <c r="AW448" s="360">
        <f>'[15]2018. III. - Állományi_Új'!G14</f>
        <v>329875</v>
      </c>
      <c r="AX448" s="359">
        <f>'[15]2018. IV. - Állományi_Új'!G14</f>
        <v>303100</v>
      </c>
      <c r="AY448" s="359">
        <f>'[15]2019. I. Állomány adatok_Korr'!I19</f>
        <v>328727</v>
      </c>
      <c r="AZ448" s="359">
        <f>'[15]2019. II. Állomány adatok'!I17</f>
        <v>344461</v>
      </c>
      <c r="BA448" s="359">
        <f>'[15]2019. III. Állomány adatok'!I17</f>
        <v>351315</v>
      </c>
      <c r="BB448" s="359">
        <f>'[15]2019. IV. Állomány adatok'!I17</f>
        <v>342357</v>
      </c>
      <c r="BC448" s="359">
        <f>'[15]2020. I. Állomány adatok'!I18</f>
        <v>335133</v>
      </c>
      <c r="BD448" s="359">
        <f>'[15]2020. II. Állományi adatok'!I18</f>
        <v>357942</v>
      </c>
      <c r="BE448" s="539">
        <f>'[15]2020. III. Állományi adatok'!I18</f>
        <v>368809</v>
      </c>
      <c r="BF448" s="359">
        <f>'[15]2020. IV. Állományi adatok'!I18</f>
        <v>361101</v>
      </c>
      <c r="BG448" s="627">
        <f>'[15]2021. I. Állományi adatok'!I18</f>
        <v>358004</v>
      </c>
      <c r="BJ448" t="s">
        <v>496</v>
      </c>
      <c r="BM448" s="27">
        <v>92.891505180674287</v>
      </c>
      <c r="BN448" s="27">
        <v>93.599676706508831</v>
      </c>
      <c r="BO448" s="27">
        <v>93.283380635802942</v>
      </c>
      <c r="BP448" s="27">
        <v>93.313701585441606</v>
      </c>
      <c r="BQ448" s="27">
        <v>93.200414249801682</v>
      </c>
      <c r="BR448" s="27">
        <v>93.253368186126451</v>
      </c>
      <c r="BS448" s="27">
        <v>92.745887912346987</v>
      </c>
      <c r="BT448" s="27">
        <v>92.482021559659316</v>
      </c>
      <c r="BU448" s="27">
        <v>91.941489882281587</v>
      </c>
      <c r="BV448" s="27">
        <v>91.971474162492626</v>
      </c>
      <c r="BW448" s="27">
        <v>91.857373822016314</v>
      </c>
      <c r="BX448" s="27">
        <v>91.561571189456799</v>
      </c>
      <c r="BZ448" s="27"/>
      <c r="CA448" s="27"/>
      <c r="CB448" s="27"/>
      <c r="CC448" s="27"/>
      <c r="CD448" s="27"/>
      <c r="CE448" s="27"/>
    </row>
    <row r="449" spans="10:83" ht="15.75" thickBot="1" x14ac:dyDescent="0.3">
      <c r="J449" s="574" t="s">
        <v>497</v>
      </c>
      <c r="K449" s="626">
        <v>31364.4682294136</v>
      </c>
      <c r="L449" s="626">
        <v>29334.7917495744</v>
      </c>
      <c r="M449" s="626">
        <v>34171.752126890504</v>
      </c>
      <c r="N449" s="626">
        <v>37660.666088791397</v>
      </c>
      <c r="O449" s="626">
        <v>41140.142770372004</v>
      </c>
      <c r="P449" s="626">
        <v>41996.4894526852</v>
      </c>
      <c r="Q449" s="626">
        <v>46769.623705370897</v>
      </c>
      <c r="R449" s="626">
        <v>45909.137999974591</v>
      </c>
      <c r="S449" s="626">
        <v>46769</v>
      </c>
      <c r="T449" s="626">
        <v>47142</v>
      </c>
      <c r="U449" s="626">
        <v>48726</v>
      </c>
      <c r="V449" s="626">
        <v>51296</v>
      </c>
      <c r="W449" s="626">
        <v>52569</v>
      </c>
      <c r="X449" s="626">
        <v>57194</v>
      </c>
      <c r="Y449" s="626">
        <v>54690</v>
      </c>
      <c r="Z449" s="626">
        <v>54031</v>
      </c>
      <c r="AA449" s="626">
        <v>56981</v>
      </c>
      <c r="AB449" s="626">
        <f>'[15]2020. I. Állomány adatok'!N18+'[15]2020. I. Állomány adatok'!N65</f>
        <v>60898</v>
      </c>
      <c r="AC449" s="626">
        <f>'[15]2020. II. Állományi adatok'!N18+'[15]2020. II. Állományi adatok'!N65</f>
        <v>57301</v>
      </c>
      <c r="AD449" s="626">
        <v>55535</v>
      </c>
      <c r="AE449" s="626">
        <v>53291</v>
      </c>
      <c r="AF449" s="626">
        <v>45366</v>
      </c>
      <c r="AG449" s="626"/>
      <c r="AH449" s="626"/>
      <c r="AI449" s="626"/>
      <c r="AK449" s="361" t="s">
        <v>35</v>
      </c>
      <c r="AL449" s="540">
        <f>'[15]2016. I. - Állományi'!G53</f>
        <v>304630.186942</v>
      </c>
      <c r="AM449" s="282">
        <f>'[15]2016. II. - Állományi'!G53</f>
        <v>309127.08107194194</v>
      </c>
      <c r="AN449" s="282">
        <f>'[15]2016. III. - Állományi'!G53</f>
        <v>319045.61778500001</v>
      </c>
      <c r="AO449" s="282">
        <f>'[15]2016. IV.- Állományi'!G53</f>
        <v>277163.30901199993</v>
      </c>
      <c r="AP449" s="282">
        <f>'[15]2017. I. - Állományi'!G53</f>
        <v>275665.76622200001</v>
      </c>
      <c r="AQ449" s="282">
        <f>'[15]2017. II. - Állományi'!G53</f>
        <v>271798.20896799996</v>
      </c>
      <c r="AR449" s="282">
        <f>'[15]2017. III. - Állományi'!G53</f>
        <v>275720.41492000001</v>
      </c>
      <c r="AS449" s="282">
        <f>'[15]2017. IV. - Állományi'!G53</f>
        <v>266422.95417400001</v>
      </c>
      <c r="AT449" s="282">
        <f>'[15]2018. I. - Állományi_R'!G54</f>
        <v>242986.986</v>
      </c>
      <c r="AU449" s="282">
        <f>'[15]2018. I. - Állományi_Új'!G54</f>
        <v>259920</v>
      </c>
      <c r="AV449" s="282">
        <f>'[15]2018. II. - Állományi_Új'!G54</f>
        <v>270188</v>
      </c>
      <c r="AW449" s="283">
        <f>'[15]2018. III. - Állományi_Új'!G54</f>
        <v>286233</v>
      </c>
      <c r="AX449" s="282">
        <f>'[15]2018. IV. - Állományi_Új'!G54</f>
        <v>268781</v>
      </c>
      <c r="AY449" s="282">
        <f>'[15]2019. I. Állomány adatok_Korr'!I61</f>
        <v>298641</v>
      </c>
      <c r="AZ449" s="282">
        <f>'[15]2019. II. Állomány adatok'!I59</f>
        <v>323078</v>
      </c>
      <c r="BA449" s="282">
        <f>'[15]2019. III. Állomány adatok'!I59</f>
        <v>341171</v>
      </c>
      <c r="BB449" s="282">
        <f>'[15]2019. IV. Állomány adatok'!I59</f>
        <v>329519</v>
      </c>
      <c r="BC449" s="282">
        <f>'[15]2020. I. Állomány adatok'!I65</f>
        <v>337102</v>
      </c>
      <c r="BD449" s="282">
        <f>'[15]2020. II. Állományi adatok'!I65</f>
        <v>360387</v>
      </c>
      <c r="BE449" s="540">
        <f>'[15]2020. III. Állományi adatok'!I65</f>
        <v>388171</v>
      </c>
      <c r="BF449" s="282">
        <f>'[15]2020. IV. Állományi adatok'!I65</f>
        <v>400531</v>
      </c>
      <c r="BG449" s="628">
        <f>'[15]2021. I. Állományi adatok'!I65</f>
        <v>411099</v>
      </c>
      <c r="BJ449" t="s">
        <v>498</v>
      </c>
      <c r="BM449" s="27">
        <v>64.453824382896158</v>
      </c>
      <c r="BN449" s="27">
        <v>62.983763325462519</v>
      </c>
      <c r="BO449" s="27">
        <v>63.046487950998163</v>
      </c>
      <c r="BP449" s="27">
        <v>63.482231201458404</v>
      </c>
      <c r="BQ449" s="27">
        <v>61.681769208533964</v>
      </c>
      <c r="BR449" s="27">
        <v>59.261729363558302</v>
      </c>
      <c r="BS449" s="27">
        <v>56.801710691600164</v>
      </c>
      <c r="BT449" s="27">
        <v>58.425070213738493</v>
      </c>
      <c r="BU449" s="27">
        <v>57.224994883895796</v>
      </c>
      <c r="BV449" s="27">
        <v>55.375752264985977</v>
      </c>
      <c r="BW449" s="27">
        <v>57.298008655438927</v>
      </c>
      <c r="BX449" s="27">
        <v>59.339072674486701</v>
      </c>
      <c r="BZ449" s="27"/>
      <c r="CA449" s="27"/>
      <c r="CB449" s="27"/>
      <c r="CC449" s="27"/>
      <c r="CD449" s="27"/>
      <c r="CE449" s="27"/>
    </row>
    <row r="450" spans="10:83" ht="15.75" thickBot="1" x14ac:dyDescent="0.3">
      <c r="J450" s="629" t="s">
        <v>499</v>
      </c>
      <c r="K450" s="630">
        <v>49.677929172668044</v>
      </c>
      <c r="L450" s="630">
        <v>50.576872865230897</v>
      </c>
      <c r="M450" s="630">
        <v>51.325199883297302</v>
      </c>
      <c r="N450" s="630">
        <v>53.331483262715984</v>
      </c>
      <c r="O450" s="630">
        <v>56.51486614134248</v>
      </c>
      <c r="P450" s="630">
        <v>57.70302533994456</v>
      </c>
      <c r="Q450" s="630">
        <v>55.715054435737819</v>
      </c>
      <c r="R450" s="630">
        <v>52.74958084179724</v>
      </c>
      <c r="S450" s="630">
        <v>51.767553703574052</v>
      </c>
      <c r="T450" s="630">
        <v>53.329187427275713</v>
      </c>
      <c r="U450" s="630">
        <v>53.697296673910614</v>
      </c>
      <c r="V450" s="630">
        <v>52.958630743628888</v>
      </c>
      <c r="W450" s="630">
        <v>49.285682890948252</v>
      </c>
      <c r="X450" s="630">
        <v>52.063259173567708</v>
      </c>
      <c r="Y450" s="630">
        <v>50.542109235842048</v>
      </c>
      <c r="Z450" s="630">
        <v>53.557239344987515</v>
      </c>
      <c r="AA450" s="630">
        <v>52.748077519440706</v>
      </c>
      <c r="AB450" s="630">
        <f>AB448/AB459*100</f>
        <v>52.019431658719597</v>
      </c>
      <c r="AC450" s="630">
        <f>AC448/AC459*100</f>
        <v>55.000156961951653</v>
      </c>
      <c r="AD450" s="630">
        <f>AD448/AD459*100</f>
        <v>53.848566999844216</v>
      </c>
      <c r="AE450" s="630">
        <f>AE448/AE459*100</f>
        <v>53.209258133702207</v>
      </c>
      <c r="AF450" s="630">
        <f>AF448/AF459*100</f>
        <v>53.588633763424973</v>
      </c>
      <c r="AG450" s="630"/>
      <c r="AH450" s="630"/>
      <c r="AI450" s="630"/>
      <c r="AK450" s="510" t="s">
        <v>50</v>
      </c>
      <c r="AL450" s="245">
        <f>AL448/AL452*100</f>
        <v>25.67652652145259</v>
      </c>
      <c r="AM450" s="220">
        <f t="shared" ref="AM450:BG450" si="379">AM448/AM452*100</f>
        <v>27.941632396588449</v>
      </c>
      <c r="AN450" s="220">
        <f t="shared" si="379"/>
        <v>32.776116530834742</v>
      </c>
      <c r="AO450" s="220">
        <f t="shared" si="379"/>
        <v>47.26619367495509</v>
      </c>
      <c r="AP450" s="220">
        <f t="shared" si="379"/>
        <v>51.114404920575495</v>
      </c>
      <c r="AQ450" s="220">
        <f t="shared" si="379"/>
        <v>53.17727757437406</v>
      </c>
      <c r="AR450" s="220">
        <f t="shared" si="379"/>
        <v>53.88943722100381</v>
      </c>
      <c r="AS450" s="220">
        <f t="shared" si="379"/>
        <v>52.824603068816586</v>
      </c>
      <c r="AT450" s="220">
        <f t="shared" si="379"/>
        <v>54.462622235942547</v>
      </c>
      <c r="AU450" s="220">
        <f t="shared" si="379"/>
        <v>54.557772225903399</v>
      </c>
      <c r="AV450" s="220">
        <f t="shared" si="379"/>
        <v>54.665073777395953</v>
      </c>
      <c r="AW450" s="288">
        <f t="shared" si="379"/>
        <v>53.541749173846142</v>
      </c>
      <c r="AX450" s="220">
        <f t="shared" si="379"/>
        <v>53.000536824968833</v>
      </c>
      <c r="AY450" s="220">
        <f t="shared" si="379"/>
        <v>52.397795233419622</v>
      </c>
      <c r="AZ450" s="220">
        <f t="shared" si="379"/>
        <v>51.601629268102691</v>
      </c>
      <c r="BA450" s="220">
        <f t="shared" si="379"/>
        <v>50.732433579884649</v>
      </c>
      <c r="BB450" s="220">
        <f t="shared" si="379"/>
        <v>50.955384624543811</v>
      </c>
      <c r="BC450" s="220">
        <f t="shared" si="379"/>
        <v>49.853548238339272</v>
      </c>
      <c r="BD450" s="220">
        <f t="shared" si="379"/>
        <v>49.829813358502861</v>
      </c>
      <c r="BE450" s="220">
        <f t="shared" si="379"/>
        <v>48.721102274828922</v>
      </c>
      <c r="BF450" s="220">
        <f t="shared" si="379"/>
        <v>47.41147955968237</v>
      </c>
      <c r="BG450" s="220">
        <f t="shared" si="379"/>
        <v>46.548251664601494</v>
      </c>
      <c r="BJ450" t="s">
        <v>500</v>
      </c>
      <c r="BM450" s="27">
        <v>7.1083327202575974</v>
      </c>
      <c r="BN450" s="27">
        <v>6.4003620947748088</v>
      </c>
      <c r="BO450" s="27">
        <v>6.716498192653245</v>
      </c>
      <c r="BP450" s="27">
        <v>6.6863133693985155</v>
      </c>
      <c r="BQ450" s="27">
        <v>6.7995748360520736</v>
      </c>
      <c r="BR450" s="27">
        <v>6.7466401639031215</v>
      </c>
      <c r="BS450" s="27">
        <v>7.2542015773810089</v>
      </c>
      <c r="BT450" s="27">
        <v>7.5179672387643182</v>
      </c>
      <c r="BU450" s="27">
        <v>8.0585078998482178</v>
      </c>
      <c r="BV450" s="27">
        <v>8.0285956638703215</v>
      </c>
      <c r="BW450" s="27">
        <v>8.1426114884870628</v>
      </c>
      <c r="BX450" s="27">
        <v>8.4384288105431846</v>
      </c>
      <c r="BZ450" s="27"/>
      <c r="CA450" s="27"/>
      <c r="CB450" s="27"/>
      <c r="CC450" s="27"/>
      <c r="CD450" s="27"/>
      <c r="CE450" s="27"/>
    </row>
    <row r="451" spans="10:83" ht="15.75" thickBot="1" x14ac:dyDescent="0.3">
      <c r="J451" s="629" t="s">
        <v>501</v>
      </c>
      <c r="K451" s="630">
        <v>3.8014954382213451</v>
      </c>
      <c r="L451" s="630">
        <v>3.458456754786198</v>
      </c>
      <c r="M451" s="630">
        <v>3.6954617437676758</v>
      </c>
      <c r="N451" s="630">
        <v>3.8214223703429355</v>
      </c>
      <c r="O451" s="630">
        <v>4.1231256295402714</v>
      </c>
      <c r="P451" s="630">
        <v>4.1746651168540216</v>
      </c>
      <c r="Q451" s="630">
        <v>4.3578064197572202</v>
      </c>
      <c r="R451" s="630">
        <v>4.2880720588292007</v>
      </c>
      <c r="S451" s="630">
        <v>4.5373338081314403</v>
      </c>
      <c r="T451" s="630">
        <v>4.3953441537130411</v>
      </c>
      <c r="U451" s="630">
        <v>4.3901568801288775</v>
      </c>
      <c r="V451" s="630">
        <v>4.4092365666817948</v>
      </c>
      <c r="W451" s="630">
        <v>4.5304863492479353</v>
      </c>
      <c r="X451" s="630">
        <v>4.7463467138474256</v>
      </c>
      <c r="Y451" s="630">
        <v>4.4340019603980148</v>
      </c>
      <c r="Z451" s="630">
        <v>4.1787865733733547</v>
      </c>
      <c r="AA451" s="630">
        <v>4.4735013680132214</v>
      </c>
      <c r="AB451" s="630">
        <f>AB449/AB459*100</f>
        <v>4.7124582164759437</v>
      </c>
      <c r="AC451" s="630">
        <f>AC449/AC459*100</f>
        <v>4.387354532640046</v>
      </c>
      <c r="AD451" s="630">
        <f>AD449/AD459*100</f>
        <v>3.9505405272746286</v>
      </c>
      <c r="AE451" s="630">
        <f>AE449/AE459*100</f>
        <v>3.7230244727153328</v>
      </c>
      <c r="AF451" s="630">
        <f>AF449/AF459*100</f>
        <v>3.1609575821593952</v>
      </c>
      <c r="AG451" s="630"/>
      <c r="AH451" s="630"/>
      <c r="AI451" s="630"/>
      <c r="AK451" s="290" t="s">
        <v>502</v>
      </c>
      <c r="AL451" s="365">
        <f>AL449/AL452*100</f>
        <v>74.323473478547413</v>
      </c>
      <c r="AM451" s="292">
        <f t="shared" ref="AM451:BG451" si="380">AM449/AM452*100</f>
        <v>72.058367603411554</v>
      </c>
      <c r="AN451" s="292">
        <f t="shared" si="380"/>
        <v>67.223883469165258</v>
      </c>
      <c r="AO451" s="292">
        <f t="shared" si="380"/>
        <v>52.733806325044917</v>
      </c>
      <c r="AP451" s="292">
        <f t="shared" si="380"/>
        <v>48.885595079424498</v>
      </c>
      <c r="AQ451" s="292">
        <f t="shared" si="380"/>
        <v>46.822722425625955</v>
      </c>
      <c r="AR451" s="292">
        <f t="shared" si="380"/>
        <v>46.110562778996197</v>
      </c>
      <c r="AS451" s="292">
        <f t="shared" si="380"/>
        <v>47.175396931183421</v>
      </c>
      <c r="AT451" s="292">
        <f t="shared" si="380"/>
        <v>45.537377764057439</v>
      </c>
      <c r="AU451" s="292">
        <f t="shared" si="380"/>
        <v>45.442227774096601</v>
      </c>
      <c r="AV451" s="292">
        <f t="shared" si="380"/>
        <v>45.334926222604039</v>
      </c>
      <c r="AW451" s="293">
        <f t="shared" si="380"/>
        <v>46.458250826153858</v>
      </c>
      <c r="AX451" s="292">
        <f t="shared" si="380"/>
        <v>46.999463175031167</v>
      </c>
      <c r="AY451" s="292">
        <f t="shared" si="380"/>
        <v>47.602204766580378</v>
      </c>
      <c r="AZ451" s="292">
        <f t="shared" si="380"/>
        <v>48.398370731897309</v>
      </c>
      <c r="BA451" s="292">
        <f t="shared" si="380"/>
        <v>49.267566420115358</v>
      </c>
      <c r="BB451" s="292">
        <f t="shared" si="380"/>
        <v>49.044615375456182</v>
      </c>
      <c r="BC451" s="292">
        <f t="shared" si="380"/>
        <v>50.146451761660728</v>
      </c>
      <c r="BD451" s="292">
        <f t="shared" si="380"/>
        <v>50.170186641497139</v>
      </c>
      <c r="BE451" s="292">
        <f t="shared" si="380"/>
        <v>51.278897725171078</v>
      </c>
      <c r="BF451" s="292">
        <f t="shared" si="380"/>
        <v>52.58852044031763</v>
      </c>
      <c r="BG451" s="292">
        <f t="shared" si="380"/>
        <v>53.451748335398506</v>
      </c>
      <c r="BJ451" t="s">
        <v>503</v>
      </c>
      <c r="BM451" s="27">
        <v>35.546175617103842</v>
      </c>
      <c r="BN451" s="27">
        <v>37.016236674537481</v>
      </c>
      <c r="BO451" s="27">
        <v>36.953512049001844</v>
      </c>
      <c r="BP451" s="27">
        <v>36.517768798541596</v>
      </c>
      <c r="BQ451" s="27">
        <v>38.318230791466029</v>
      </c>
      <c r="BR451" s="27">
        <v>40.738270636441705</v>
      </c>
      <c r="BS451" s="27">
        <v>43.198289308399836</v>
      </c>
      <c r="BT451" s="27">
        <v>41.574929786261507</v>
      </c>
      <c r="BU451" s="27">
        <v>42.775005116104204</v>
      </c>
      <c r="BV451" s="27">
        <v>44.624247735014023</v>
      </c>
      <c r="BW451" s="27">
        <v>42.701991344561065</v>
      </c>
      <c r="BX451" s="27">
        <v>40.660927325513299</v>
      </c>
      <c r="BZ451" s="27"/>
      <c r="CA451" s="27"/>
      <c r="CB451" s="27"/>
      <c r="CC451" s="27"/>
      <c r="CD451" s="27"/>
      <c r="CE451" s="27"/>
    </row>
    <row r="452" spans="10:83" ht="15.75" thickBot="1" x14ac:dyDescent="0.3">
      <c r="AK452" s="610" t="s">
        <v>495</v>
      </c>
      <c r="AL452" s="370">
        <f>AL448+AL449</f>
        <v>409870.76179899997</v>
      </c>
      <c r="AM452" s="371">
        <f t="shared" ref="AM452:BG452" si="381">AM448+AM449</f>
        <v>428995.39824894193</v>
      </c>
      <c r="AN452" s="371">
        <f t="shared" si="381"/>
        <v>474601.58699600003</v>
      </c>
      <c r="AO452" s="371">
        <f t="shared" si="381"/>
        <v>525589.42417999986</v>
      </c>
      <c r="AP452" s="371">
        <f t="shared" si="381"/>
        <v>563899.78637700004</v>
      </c>
      <c r="AQ452" s="371">
        <f t="shared" si="381"/>
        <v>580483.56628499995</v>
      </c>
      <c r="AR452" s="371">
        <f t="shared" si="381"/>
        <v>597954.99838400004</v>
      </c>
      <c r="AS452" s="371">
        <f t="shared" si="381"/>
        <v>564749.78803599998</v>
      </c>
      <c r="AT452" s="371">
        <f t="shared" si="381"/>
        <v>533598.98600000003</v>
      </c>
      <c r="AU452" s="371">
        <f>AU448+AU449</f>
        <v>571979</v>
      </c>
      <c r="AV452" s="371">
        <f t="shared" si="381"/>
        <v>595982</v>
      </c>
      <c r="AW452" s="372">
        <f t="shared" si="381"/>
        <v>616108</v>
      </c>
      <c r="AX452" s="371">
        <f t="shared" si="381"/>
        <v>571881</v>
      </c>
      <c r="AY452" s="371">
        <f t="shared" si="381"/>
        <v>627368</v>
      </c>
      <c r="AZ452" s="371">
        <f t="shared" si="381"/>
        <v>667539</v>
      </c>
      <c r="BA452" s="371">
        <f t="shared" si="381"/>
        <v>692486</v>
      </c>
      <c r="BB452" s="371">
        <f t="shared" si="381"/>
        <v>671876</v>
      </c>
      <c r="BC452" s="371">
        <f t="shared" si="381"/>
        <v>672235</v>
      </c>
      <c r="BD452" s="371">
        <f t="shared" si="381"/>
        <v>718329</v>
      </c>
      <c r="BE452" s="371">
        <f t="shared" si="381"/>
        <v>756980</v>
      </c>
      <c r="BF452" s="371">
        <f t="shared" si="381"/>
        <v>761632</v>
      </c>
      <c r="BG452" s="371">
        <f t="shared" si="381"/>
        <v>769103</v>
      </c>
      <c r="BH452" s="1">
        <f>BG452+BG470</f>
        <v>1149849</v>
      </c>
      <c r="BI452" s="631">
        <f>BG452/BH452*100</f>
        <v>66.887304333003726</v>
      </c>
    </row>
    <row r="453" spans="10:83" ht="15.75" thickBot="1" x14ac:dyDescent="0.3">
      <c r="J453" s="157" t="s">
        <v>493</v>
      </c>
      <c r="K453" s="34" t="s">
        <v>0</v>
      </c>
      <c r="L453" s="35" t="s">
        <v>1</v>
      </c>
      <c r="M453" s="35" t="s">
        <v>2</v>
      </c>
      <c r="N453" s="35" t="s">
        <v>3</v>
      </c>
      <c r="O453" s="35" t="s">
        <v>4</v>
      </c>
      <c r="P453" s="35" t="s">
        <v>5</v>
      </c>
      <c r="Q453" s="35" t="s">
        <v>6</v>
      </c>
      <c r="R453" s="35" t="s">
        <v>7</v>
      </c>
      <c r="S453" s="35" t="s">
        <v>27</v>
      </c>
      <c r="T453" s="35" t="s">
        <v>9</v>
      </c>
      <c r="U453" s="35" t="s">
        <v>10</v>
      </c>
      <c r="V453" s="176" t="s">
        <v>11</v>
      </c>
      <c r="W453" s="176" t="s">
        <v>12</v>
      </c>
      <c r="X453" s="369" t="s">
        <v>13</v>
      </c>
      <c r="Y453" s="176" t="s">
        <v>14</v>
      </c>
      <c r="Z453" s="176" t="s">
        <v>15</v>
      </c>
      <c r="AA453" s="176" t="s">
        <v>16</v>
      </c>
      <c r="AB453" s="176" t="s">
        <v>17</v>
      </c>
      <c r="AC453" s="176" t="s">
        <v>18</v>
      </c>
      <c r="AD453" s="176" t="s">
        <v>19</v>
      </c>
      <c r="AE453" s="176" t="s">
        <v>20</v>
      </c>
      <c r="AF453" s="35" t="s">
        <v>201</v>
      </c>
      <c r="AG453" s="35" t="s">
        <v>57</v>
      </c>
      <c r="AH453" s="36" t="s">
        <v>58</v>
      </c>
      <c r="AI453" s="369" t="s">
        <v>59</v>
      </c>
      <c r="AK453" s="448" t="s">
        <v>504</v>
      </c>
      <c r="AL453" s="248">
        <f>AL452/AL454*100</f>
        <v>92.891505180674287</v>
      </c>
      <c r="AM453" s="223">
        <f t="shared" ref="AM453:BG453" si="382">AM452/AM454*100</f>
        <v>93.599676706508831</v>
      </c>
      <c r="AN453" s="223">
        <f t="shared" si="382"/>
        <v>93.283380635802942</v>
      </c>
      <c r="AO453" s="223">
        <f t="shared" si="382"/>
        <v>93.313701585441606</v>
      </c>
      <c r="AP453" s="223">
        <f t="shared" si="382"/>
        <v>93.200414249801682</v>
      </c>
      <c r="AQ453" s="223">
        <f t="shared" si="382"/>
        <v>93.253368186126451</v>
      </c>
      <c r="AR453" s="223">
        <f t="shared" si="382"/>
        <v>92.745887912346987</v>
      </c>
      <c r="AS453" s="223">
        <f t="shared" si="382"/>
        <v>92.482021559659316</v>
      </c>
      <c r="AT453" s="223">
        <f t="shared" si="382"/>
        <v>91.941489882281587</v>
      </c>
      <c r="AU453" s="223">
        <f t="shared" si="382"/>
        <v>92.385656438725221</v>
      </c>
      <c r="AV453" s="223">
        <f t="shared" si="382"/>
        <v>92.442159861518704</v>
      </c>
      <c r="AW453" s="223">
        <f t="shared" si="382"/>
        <v>92.314100604731166</v>
      </c>
      <c r="AX453" s="223">
        <f t="shared" si="382"/>
        <v>91.581551765553698</v>
      </c>
      <c r="AY453" s="223">
        <f t="shared" si="382"/>
        <v>91.645168735629497</v>
      </c>
      <c r="AZ453" s="223">
        <f t="shared" si="382"/>
        <v>92.378493052297699</v>
      </c>
      <c r="BA453" s="223">
        <f t="shared" si="382"/>
        <v>92.76225457692189</v>
      </c>
      <c r="BB453" s="223">
        <f t="shared" si="382"/>
        <v>92.182142724841782</v>
      </c>
      <c r="BC453" s="223">
        <f t="shared" si="382"/>
        <v>91.693574392401089</v>
      </c>
      <c r="BD453" s="223">
        <f t="shared" si="382"/>
        <v>92.612447445879411</v>
      </c>
      <c r="BE453" s="223">
        <f t="shared" si="382"/>
        <v>93.165163923329317</v>
      </c>
      <c r="BF453" s="223">
        <f t="shared" si="382"/>
        <v>93.460609161847202</v>
      </c>
      <c r="BG453" s="223">
        <f t="shared" si="382"/>
        <v>94.429990582821446</v>
      </c>
      <c r="BI453" s="631">
        <f>BG470/BH452*100</f>
        <v>33.112695666996274</v>
      </c>
    </row>
    <row r="454" spans="10:83" ht="15.75" thickBot="1" x14ac:dyDescent="0.3">
      <c r="J454" s="632" t="s">
        <v>505</v>
      </c>
      <c r="K454" s="524">
        <v>247387.19938399998</v>
      </c>
      <c r="L454" s="524">
        <v>245557.62057999999</v>
      </c>
      <c r="M454" s="524">
        <v>262224.03658199997</v>
      </c>
      <c r="N454" s="524">
        <v>268062.777879</v>
      </c>
      <c r="O454" s="524">
        <v>242255.305238</v>
      </c>
      <c r="P454" s="524">
        <v>227271.443225</v>
      </c>
      <c r="Q454" s="524">
        <v>243402.78897200001</v>
      </c>
      <c r="R454" s="524">
        <v>268735.04550899996</v>
      </c>
      <c r="S454" s="524">
        <v>257736.53</v>
      </c>
      <c r="T454" s="524">
        <v>260598</v>
      </c>
      <c r="U454" s="524">
        <v>258796</v>
      </c>
      <c r="V454" s="524">
        <v>285265</v>
      </c>
      <c r="W454" s="524">
        <v>301034</v>
      </c>
      <c r="X454" s="524">
        <v>303904</v>
      </c>
      <c r="Y454" s="524">
        <v>284110</v>
      </c>
      <c r="Z454" s="524">
        <v>296870</v>
      </c>
      <c r="AA454" s="524">
        <v>328049</v>
      </c>
      <c r="AB454" s="524">
        <f>'[15]2020. I. Állomány adatok'!I34+'[15]2020. I. Állomány adatok'!I81</f>
        <v>321650</v>
      </c>
      <c r="AC454" s="524">
        <f>'[15]2020. II. Állományi adatok'!I34+'[15]2020. II. Állományi adatok'!I81</f>
        <v>300436</v>
      </c>
      <c r="AD454" s="524">
        <v>344833</v>
      </c>
      <c r="AE454" s="524">
        <v>368206</v>
      </c>
      <c r="AF454" s="524">
        <v>380746</v>
      </c>
      <c r="AG454" s="524"/>
      <c r="AH454" s="524"/>
      <c r="AI454" s="524"/>
      <c r="AK454" s="610" t="s">
        <v>36</v>
      </c>
      <c r="AL454" s="387">
        <v>441236</v>
      </c>
      <c r="AM454" s="388">
        <v>458330</v>
      </c>
      <c r="AN454" s="388">
        <v>508774</v>
      </c>
      <c r="AO454" s="388">
        <v>563250</v>
      </c>
      <c r="AP454" s="388">
        <v>605040</v>
      </c>
      <c r="AQ454" s="388">
        <v>622480</v>
      </c>
      <c r="AR454" s="388">
        <v>644724</v>
      </c>
      <c r="AS454" s="388">
        <v>610659</v>
      </c>
      <c r="AT454" s="388">
        <v>580368</v>
      </c>
      <c r="AU454" s="388">
        <v>619121</v>
      </c>
      <c r="AV454" s="388">
        <v>644708</v>
      </c>
      <c r="AW454" s="389">
        <v>667404</v>
      </c>
      <c r="AX454" s="388">
        <v>624450</v>
      </c>
      <c r="AY454" s="388">
        <v>684562</v>
      </c>
      <c r="AZ454" s="388">
        <v>722613</v>
      </c>
      <c r="BA454" s="388">
        <v>746517</v>
      </c>
      <c r="BB454" s="388">
        <v>728857</v>
      </c>
      <c r="BC454" s="388">
        <v>733132.07</v>
      </c>
      <c r="BD454" s="388">
        <v>775629</v>
      </c>
      <c r="BE454" s="388">
        <v>812514</v>
      </c>
      <c r="BF454" s="388">
        <v>814923</v>
      </c>
      <c r="BG454" s="633">
        <v>814469</v>
      </c>
    </row>
    <row r="455" spans="10:83" ht="15.75" thickBot="1" x14ac:dyDescent="0.3">
      <c r="J455" s="20" t="s">
        <v>506</v>
      </c>
      <c r="K455" s="524">
        <v>136433.62389929319</v>
      </c>
      <c r="L455" s="524">
        <v>144316.86073847042</v>
      </c>
      <c r="M455" s="524">
        <v>153697.68261956648</v>
      </c>
      <c r="N455" s="524">
        <v>154201.4885238508</v>
      </c>
      <c r="O455" s="524">
        <v>150494.94876165802</v>
      </c>
      <c r="P455" s="524">
        <v>156233.1315921426</v>
      </c>
      <c r="Q455" s="524">
        <v>185110.34207353101</v>
      </c>
      <c r="R455" s="524">
        <v>191230.2476876998</v>
      </c>
      <c r="S455" s="524">
        <v>192655</v>
      </c>
      <c r="T455" s="524">
        <v>192825</v>
      </c>
      <c r="U455" s="524">
        <v>206388</v>
      </c>
      <c r="V455" s="524">
        <v>206388</v>
      </c>
      <c r="W455" s="524">
        <v>204109</v>
      </c>
      <c r="X455" s="524">
        <v>216545</v>
      </c>
      <c r="Y455" s="524">
        <v>223947</v>
      </c>
      <c r="Z455" s="524">
        <v>249596</v>
      </c>
      <c r="AA455" s="524">
        <v>216839</v>
      </c>
      <c r="AB455" s="524">
        <f>'[15]2020. I. Állomány adatok'!N34+'[15]2020. I. Állomány adatok'!N81</f>
        <v>237495</v>
      </c>
      <c r="AC455" s="524">
        <f>'[15]2020. II. Állományi adatok'!N34+'[15]2020. II. Állományi adatok'!N81</f>
        <v>229983</v>
      </c>
      <c r="AD455" s="524">
        <v>248411</v>
      </c>
      <c r="AE455" s="524">
        <v>248261</v>
      </c>
      <c r="AF455" s="524">
        <v>239983</v>
      </c>
      <c r="AG455" s="524"/>
      <c r="AH455" s="524"/>
      <c r="AI455" s="524"/>
      <c r="AK455" s="25" t="s">
        <v>507</v>
      </c>
      <c r="AL455" s="398">
        <v>0</v>
      </c>
      <c r="AM455" s="232">
        <f>AM452/AL452*100-100</f>
        <v>4.6660162744959592</v>
      </c>
      <c r="AN455" s="232">
        <f t="shared" ref="AN455:AY455" si="383">AN452/AM452*100-100</f>
        <v>10.630927262439599</v>
      </c>
      <c r="AO455" s="232">
        <f t="shared" si="383"/>
        <v>10.74329260184912</v>
      </c>
      <c r="AP455" s="232">
        <f t="shared" si="383"/>
        <v>7.2890283621612468</v>
      </c>
      <c r="AQ455" s="232">
        <f t="shared" si="383"/>
        <v>2.9409090601982797</v>
      </c>
      <c r="AR455" s="232">
        <f t="shared" si="383"/>
        <v>3.0098064981950188</v>
      </c>
      <c r="AS455" s="232">
        <f t="shared" si="383"/>
        <v>-5.5531286531158059</v>
      </c>
      <c r="AT455" s="232">
        <f t="shared" si="383"/>
        <v>-5.5158590044506894</v>
      </c>
      <c r="AU455" s="232">
        <f t="shared" si="383"/>
        <v>7.1926699650812367</v>
      </c>
      <c r="AV455" s="232">
        <f t="shared" si="383"/>
        <v>4.1964827380026151</v>
      </c>
      <c r="AW455" s="550">
        <f t="shared" si="383"/>
        <v>3.3769476259350171</v>
      </c>
      <c r="AX455" s="232">
        <f t="shared" si="383"/>
        <v>-7.1784492329266953</v>
      </c>
      <c r="AY455" s="232">
        <f t="shared" si="383"/>
        <v>9.7025430115705831</v>
      </c>
      <c r="AZ455" s="232">
        <f>AZ452/AX452*100-100</f>
        <v>16.726906471800945</v>
      </c>
      <c r="BA455" s="232">
        <f t="shared" ref="BA455:BG455" si="384">BA452/AZ452*100-100</f>
        <v>3.7371599262365152</v>
      </c>
      <c r="BB455" s="232">
        <f t="shared" si="384"/>
        <v>-2.9762334545391553</v>
      </c>
      <c r="BC455" s="232">
        <f t="shared" si="384"/>
        <v>5.343247861210898E-2</v>
      </c>
      <c r="BD455" s="232">
        <f t="shared" si="384"/>
        <v>6.8568283412794528</v>
      </c>
      <c r="BE455" s="232">
        <f t="shared" si="384"/>
        <v>5.3806821108433667</v>
      </c>
      <c r="BF455" s="232">
        <f t="shared" si="384"/>
        <v>0.61454727998098235</v>
      </c>
      <c r="BG455" s="232">
        <f t="shared" si="384"/>
        <v>0.98091991933111444</v>
      </c>
    </row>
    <row r="456" spans="10:83" ht="15.75" thickBot="1" x14ac:dyDescent="0.3">
      <c r="J456" s="634" t="s">
        <v>508</v>
      </c>
      <c r="K456" s="635">
        <v>29.984289963210166</v>
      </c>
      <c r="L456" s="635">
        <v>28.950279205457406</v>
      </c>
      <c r="M456" s="635">
        <v>28.357893147731179</v>
      </c>
      <c r="N456" s="635">
        <v>27.200291509128601</v>
      </c>
      <c r="O456" s="635">
        <v>24.279183071728248</v>
      </c>
      <c r="P456" s="635">
        <v>22.591939908629975</v>
      </c>
      <c r="Q456" s="635">
        <v>22.679298064294354</v>
      </c>
      <c r="R456" s="635">
        <v>25.100781458279052</v>
      </c>
      <c r="S456" s="635">
        <v>25.004525885939046</v>
      </c>
      <c r="T456" s="635">
        <v>24.29718501059164</v>
      </c>
      <c r="U456" s="635">
        <v>23.317223657797335</v>
      </c>
      <c r="V456" s="635">
        <v>24.520447387602974</v>
      </c>
      <c r="W456" s="635">
        <v>25.943625095769423</v>
      </c>
      <c r="X456" s="635">
        <v>25.220018738418155</v>
      </c>
      <c r="Y456" s="635">
        <v>23.034271292168217</v>
      </c>
      <c r="Z456" s="635">
        <v>22.960085322080801</v>
      </c>
      <c r="AA456" s="635">
        <v>25.754684022312158</v>
      </c>
      <c r="AB456" s="635">
        <f>AB454/AB459*100</f>
        <v>24.890180060584704</v>
      </c>
      <c r="AC456" s="635">
        <f>AC454/AC459*100</f>
        <v>23.003424833218354</v>
      </c>
      <c r="AD456" s="635">
        <f>AD454/AD459*100</f>
        <v>24.530057470814658</v>
      </c>
      <c r="AE456" s="635">
        <f>AE454/AE459*100</f>
        <v>25.723667204605317</v>
      </c>
      <c r="AF456" s="635">
        <f>AF454/AF459*100</f>
        <v>26.52916182993566</v>
      </c>
      <c r="AG456" s="635"/>
      <c r="AH456" s="635"/>
      <c r="AI456" s="635"/>
      <c r="AK456" s="15" t="s">
        <v>312</v>
      </c>
      <c r="AL456" s="13">
        <f>AL448/AL454*100</f>
        <v>23.851311963892339</v>
      </c>
      <c r="AM456" s="458">
        <f t="shared" ref="AM456:BG456" si="385">AM448/AM454*100</f>
        <v>26.153277589727924</v>
      </c>
      <c r="AN456" s="458">
        <f t="shared" si="385"/>
        <v>30.574669541092899</v>
      </c>
      <c r="AO456" s="458">
        <f t="shared" si="385"/>
        <v>44.105834916644469</v>
      </c>
      <c r="AP456" s="458">
        <f t="shared" si="385"/>
        <v>47.638837127297371</v>
      </c>
      <c r="AQ456" s="458">
        <f t="shared" si="385"/>
        <v>49.589602447789495</v>
      </c>
      <c r="AR456" s="458">
        <f t="shared" si="385"/>
        <v>49.98023704158679</v>
      </c>
      <c r="AS456" s="458">
        <f t="shared" si="385"/>
        <v>48.853260798907414</v>
      </c>
      <c r="AT456" s="458">
        <f t="shared" si="385"/>
        <v>50.073746312684364</v>
      </c>
      <c r="AU456" s="458">
        <f t="shared" si="385"/>
        <v>50.403556009245364</v>
      </c>
      <c r="AV456" s="458">
        <f t="shared" si="385"/>
        <v>50.533574889717514</v>
      </c>
      <c r="AW456" s="459">
        <f t="shared" si="385"/>
        <v>49.426584197877148</v>
      </c>
      <c r="AX456" s="14">
        <f t="shared" si="385"/>
        <v>48.538714068380173</v>
      </c>
      <c r="AY456" s="14">
        <f t="shared" si="385"/>
        <v>48.02004785541704</v>
      </c>
      <c r="AZ456" s="14">
        <f t="shared" si="385"/>
        <v>47.668807508306656</v>
      </c>
      <c r="BA456" s="14">
        <f t="shared" si="385"/>
        <v>47.060549190440405</v>
      </c>
      <c r="BB456" s="14">
        <f t="shared" si="385"/>
        <v>46.971765380589062</v>
      </c>
      <c r="BC456" s="14">
        <f t="shared" si="385"/>
        <v>45.712500341173183</v>
      </c>
      <c r="BD456" s="14">
        <f t="shared" si="385"/>
        <v>46.148609709023262</v>
      </c>
      <c r="BE456" s="14">
        <f t="shared" si="385"/>
        <v>45.391094799597298</v>
      </c>
      <c r="BF456" s="14">
        <f t="shared" si="385"/>
        <v>44.311057609123807</v>
      </c>
      <c r="BG456" s="14">
        <f t="shared" si="385"/>
        <v>43.955509663351215</v>
      </c>
    </row>
    <row r="457" spans="10:83" ht="15.75" thickBot="1" x14ac:dyDescent="0.3">
      <c r="J457" s="634" t="s">
        <v>509</v>
      </c>
      <c r="K457" s="635">
        <v>16.536285425900449</v>
      </c>
      <c r="L457" s="635">
        <v>17.0143911745255</v>
      </c>
      <c r="M457" s="635">
        <v>16.621445225203857</v>
      </c>
      <c r="N457" s="635">
        <v>15.646802857812483</v>
      </c>
      <c r="O457" s="635">
        <v>15.082825157388999</v>
      </c>
      <c r="P457" s="635">
        <v>15.530369634571434</v>
      </c>
      <c r="Q457" s="635">
        <v>17.247841080210616</v>
      </c>
      <c r="R457" s="635">
        <v>17.861565641094518</v>
      </c>
      <c r="S457" s="635">
        <v>18.690586602355459</v>
      </c>
      <c r="T457" s="635">
        <v>17.978283408419607</v>
      </c>
      <c r="U457" s="635">
        <v>18.595322788163173</v>
      </c>
      <c r="V457" s="635">
        <v>17.740438173041216</v>
      </c>
      <c r="W457" s="635">
        <v>17.590462787168232</v>
      </c>
      <c r="X457" s="635">
        <v>17.970375374166707</v>
      </c>
      <c r="Y457" s="635">
        <v>18.156544834983617</v>
      </c>
      <c r="Z457" s="635">
        <v>19.303888759558323</v>
      </c>
      <c r="AA457" s="635">
        <v>17.023737090233919</v>
      </c>
      <c r="AB457" s="635">
        <f>AB455/AB459*100</f>
        <v>18.378029888041549</v>
      </c>
      <c r="AC457" s="635">
        <f>AC455/AC459*100</f>
        <v>17.60906367218994</v>
      </c>
      <c r="AD457" s="635">
        <f>AD455/AD459*100</f>
        <v>17.670977274166162</v>
      </c>
      <c r="AE457" s="635">
        <f>AE455/AE459*100</f>
        <v>17.344050188977146</v>
      </c>
      <c r="AF457" s="635">
        <f>AF455/AF459*100</f>
        <v>16.721246824479969</v>
      </c>
      <c r="AG457" s="635"/>
      <c r="AH457" s="635"/>
      <c r="AI457" s="635"/>
      <c r="AK457" s="15" t="s">
        <v>313</v>
      </c>
      <c r="AL457" s="402">
        <f>AL449/AL454*100</f>
        <v>69.040193216781958</v>
      </c>
      <c r="AM457" s="501">
        <f t="shared" ref="AM457:BG457" si="386">AM449/AM454*100</f>
        <v>67.44639911678091</v>
      </c>
      <c r="AN457" s="501">
        <f t="shared" si="386"/>
        <v>62.708711094710033</v>
      </c>
      <c r="AO457" s="501">
        <f t="shared" si="386"/>
        <v>49.207866668797145</v>
      </c>
      <c r="AP457" s="501">
        <f t="shared" si="386"/>
        <v>45.561577122504296</v>
      </c>
      <c r="AQ457" s="501">
        <f t="shared" si="386"/>
        <v>43.66376573833697</v>
      </c>
      <c r="AR457" s="501">
        <f t="shared" si="386"/>
        <v>42.765650870760204</v>
      </c>
      <c r="AS457" s="501">
        <f t="shared" si="386"/>
        <v>43.628760760751909</v>
      </c>
      <c r="AT457" s="501">
        <f t="shared" si="386"/>
        <v>41.867743569597224</v>
      </c>
      <c r="AU457" s="501">
        <f t="shared" si="386"/>
        <v>41.982100429479857</v>
      </c>
      <c r="AV457" s="501">
        <f t="shared" si="386"/>
        <v>41.90858497180119</v>
      </c>
      <c r="AW457" s="612">
        <f t="shared" si="386"/>
        <v>42.887516406854019</v>
      </c>
      <c r="AX457" s="403">
        <f t="shared" si="386"/>
        <v>43.04283769717351</v>
      </c>
      <c r="AY457" s="403">
        <f t="shared" si="386"/>
        <v>43.625120880212457</v>
      </c>
      <c r="AZ457" s="403">
        <f t="shared" si="386"/>
        <v>44.709685543991043</v>
      </c>
      <c r="BA457" s="403">
        <f t="shared" si="386"/>
        <v>45.701705386481493</v>
      </c>
      <c r="BB457" s="403">
        <f t="shared" si="386"/>
        <v>45.210377344252713</v>
      </c>
      <c r="BC457" s="403">
        <f t="shared" si="386"/>
        <v>45.981074051227907</v>
      </c>
      <c r="BD457" s="403">
        <f t="shared" si="386"/>
        <v>46.463837736856149</v>
      </c>
      <c r="BE457" s="403">
        <f t="shared" si="386"/>
        <v>47.774069123732019</v>
      </c>
      <c r="BF457" s="403">
        <f t="shared" si="386"/>
        <v>49.149551552723388</v>
      </c>
      <c r="BG457" s="403">
        <f t="shared" si="386"/>
        <v>50.474480919470231</v>
      </c>
    </row>
    <row r="458" spans="10:83" ht="15.75" thickBot="1" x14ac:dyDescent="0.3">
      <c r="AK458" s="12" t="s">
        <v>26</v>
      </c>
      <c r="AL458" s="464">
        <f>AL454+AL472</f>
        <v>825056.82328329317</v>
      </c>
      <c r="AM458" s="465">
        <f t="shared" ref="AM458:AT458" si="387">AM454+AM472</f>
        <v>848204.48131847044</v>
      </c>
      <c r="AN458" s="465">
        <f t="shared" si="387"/>
        <v>924695.71920156642</v>
      </c>
      <c r="AO458" s="465">
        <f t="shared" si="387"/>
        <v>985514.26640285086</v>
      </c>
      <c r="AP458" s="465">
        <f t="shared" si="387"/>
        <v>997790.25399965805</v>
      </c>
      <c r="AQ458" s="465">
        <f t="shared" si="387"/>
        <v>1005984.5748171426</v>
      </c>
      <c r="AR458" s="465">
        <f t="shared" si="387"/>
        <v>1073237.131045531</v>
      </c>
      <c r="AS458" s="465">
        <f t="shared" si="387"/>
        <v>1070624.2931966998</v>
      </c>
      <c r="AT458" s="465">
        <f t="shared" si="387"/>
        <v>1030759.53</v>
      </c>
      <c r="AU458" s="465">
        <v>1072544</v>
      </c>
      <c r="AV458" s="465">
        <v>1109892</v>
      </c>
      <c r="AW458" s="465">
        <v>1163376</v>
      </c>
      <c r="AX458" s="465">
        <v>1129593</v>
      </c>
      <c r="AY458" s="465">
        <v>1205011</v>
      </c>
      <c r="AZ458" s="465">
        <v>1233423</v>
      </c>
      <c r="BA458" s="465">
        <v>1292983</v>
      </c>
      <c r="BB458" s="465">
        <v>1273745</v>
      </c>
      <c r="BC458" s="465">
        <v>1292276.71</v>
      </c>
      <c r="BD458" s="465">
        <v>1306049</v>
      </c>
      <c r="BE458" s="482">
        <v>1405757</v>
      </c>
      <c r="BF458" s="465">
        <v>1431391</v>
      </c>
      <c r="BG458" s="636">
        <v>1435198</v>
      </c>
    </row>
    <row r="459" spans="10:83" ht="15.75" thickBot="1" x14ac:dyDescent="0.3">
      <c r="AB459" s="637">
        <v>1292276.71</v>
      </c>
      <c r="AC459" s="637">
        <v>1306049</v>
      </c>
      <c r="AD459" s="637">
        <v>1405757</v>
      </c>
      <c r="AE459" s="637">
        <v>1431390</v>
      </c>
      <c r="AF459" s="637">
        <v>1435198</v>
      </c>
      <c r="AG459" s="638"/>
      <c r="AH459" s="638"/>
      <c r="AI459" s="638"/>
      <c r="AK459" s="639" t="s">
        <v>496</v>
      </c>
      <c r="AL459" s="640">
        <f>AL452/AL454*100</f>
        <v>92.891505180674287</v>
      </c>
      <c r="AM459" s="641">
        <f t="shared" ref="AM459:BG459" si="388">AM452/AM454*100</f>
        <v>93.599676706508831</v>
      </c>
      <c r="AN459" s="641">
        <f t="shared" si="388"/>
        <v>93.283380635802942</v>
      </c>
      <c r="AO459" s="641">
        <f t="shared" si="388"/>
        <v>93.313701585441606</v>
      </c>
      <c r="AP459" s="641">
        <f t="shared" si="388"/>
        <v>93.200414249801682</v>
      </c>
      <c r="AQ459" s="641">
        <f t="shared" si="388"/>
        <v>93.253368186126451</v>
      </c>
      <c r="AR459" s="641">
        <f t="shared" si="388"/>
        <v>92.745887912346987</v>
      </c>
      <c r="AS459" s="641">
        <f t="shared" si="388"/>
        <v>92.482021559659316</v>
      </c>
      <c r="AT459" s="641">
        <f t="shared" si="388"/>
        <v>91.941489882281587</v>
      </c>
      <c r="AU459" s="641">
        <f t="shared" si="388"/>
        <v>92.385656438725221</v>
      </c>
      <c r="AV459" s="641">
        <f t="shared" si="388"/>
        <v>92.442159861518704</v>
      </c>
      <c r="AW459" s="641">
        <f t="shared" si="388"/>
        <v>92.314100604731166</v>
      </c>
      <c r="AX459" s="641">
        <f t="shared" si="388"/>
        <v>91.581551765553698</v>
      </c>
      <c r="AY459" s="641">
        <f t="shared" si="388"/>
        <v>91.645168735629497</v>
      </c>
      <c r="AZ459" s="641">
        <f t="shared" si="388"/>
        <v>92.378493052297699</v>
      </c>
      <c r="BA459" s="641">
        <f t="shared" si="388"/>
        <v>92.76225457692189</v>
      </c>
      <c r="BB459" s="641">
        <f t="shared" si="388"/>
        <v>92.182142724841782</v>
      </c>
      <c r="BC459" s="641">
        <f t="shared" si="388"/>
        <v>91.693574392401089</v>
      </c>
      <c r="BD459" s="641">
        <f t="shared" si="388"/>
        <v>92.612447445879411</v>
      </c>
      <c r="BE459" s="641">
        <f t="shared" si="388"/>
        <v>93.165163923329317</v>
      </c>
      <c r="BF459" s="641">
        <f t="shared" si="388"/>
        <v>93.460609161847202</v>
      </c>
      <c r="BG459" s="641">
        <f t="shared" si="388"/>
        <v>94.429990582821446</v>
      </c>
    </row>
    <row r="460" spans="10:83" ht="15.75" thickBot="1" x14ac:dyDescent="0.3">
      <c r="AK460" s="336" t="s">
        <v>510</v>
      </c>
      <c r="AL460" s="613">
        <f>AL452/AL458*100</f>
        <v>49.677882811504965</v>
      </c>
      <c r="AM460" s="258">
        <f t="shared" ref="AM460:BG460" si="389">AM452/AM458*100</f>
        <v>50.576884194492898</v>
      </c>
      <c r="AN460" s="258">
        <f t="shared" si="389"/>
        <v>51.325163201339073</v>
      </c>
      <c r="AO460" s="258">
        <f t="shared" si="389"/>
        <v>53.331488147646311</v>
      </c>
      <c r="AP460" s="258">
        <f t="shared" si="389"/>
        <v>56.514862128247778</v>
      </c>
      <c r="AQ460" s="258">
        <f t="shared" si="389"/>
        <v>57.703028537044347</v>
      </c>
      <c r="AR460" s="258">
        <f t="shared" si="389"/>
        <v>55.715086730318539</v>
      </c>
      <c r="AS460" s="258">
        <f t="shared" si="389"/>
        <v>52.749577197595087</v>
      </c>
      <c r="AT460" s="258">
        <f t="shared" si="389"/>
        <v>51.767553000455891</v>
      </c>
      <c r="AU460" s="258">
        <f t="shared" si="389"/>
        <v>53.329187427275713</v>
      </c>
      <c r="AV460" s="258">
        <f t="shared" si="389"/>
        <v>53.697296673910614</v>
      </c>
      <c r="AW460" s="258">
        <f t="shared" si="389"/>
        <v>52.958630743628888</v>
      </c>
      <c r="AX460" s="258">
        <f t="shared" si="389"/>
        <v>50.62717279586542</v>
      </c>
      <c r="AY460" s="258">
        <f t="shared" si="389"/>
        <v>52.063259173567708</v>
      </c>
      <c r="AZ460" s="258">
        <f t="shared" si="389"/>
        <v>54.120849051785157</v>
      </c>
      <c r="BA460" s="258">
        <f t="shared" si="389"/>
        <v>53.557239344987515</v>
      </c>
      <c r="BB460" s="258">
        <f t="shared" si="389"/>
        <v>52.748077519440706</v>
      </c>
      <c r="BC460" s="258">
        <f t="shared" si="389"/>
        <v>52.019431658719597</v>
      </c>
      <c r="BD460" s="258">
        <f t="shared" si="389"/>
        <v>55.000156961951653</v>
      </c>
      <c r="BE460" s="258">
        <f t="shared" si="389"/>
        <v>53.848566999844216</v>
      </c>
      <c r="BF460" s="258">
        <f t="shared" si="389"/>
        <v>53.209220960590088</v>
      </c>
      <c r="BG460" s="258">
        <f t="shared" si="389"/>
        <v>53.588633763424973</v>
      </c>
    </row>
    <row r="462" spans="10:83" ht="15.75" thickBot="1" x14ac:dyDescent="0.3">
      <c r="AL462" s="1"/>
      <c r="AM462" s="1"/>
      <c r="AN462" s="1"/>
      <c r="AO462" s="1"/>
    </row>
    <row r="463" spans="10:83" ht="19.5" thickBot="1" x14ac:dyDescent="0.35">
      <c r="AK463" s="1112" t="s">
        <v>511</v>
      </c>
      <c r="AL463" s="1113"/>
      <c r="AM463" s="1113"/>
      <c r="AN463" s="1113"/>
      <c r="AO463" s="1113"/>
      <c r="AP463" s="1113"/>
      <c r="AQ463" s="1113"/>
      <c r="AR463" s="1113"/>
      <c r="AS463" s="1113"/>
      <c r="AT463" s="1113"/>
      <c r="AU463" s="1113"/>
      <c r="AV463" s="1113"/>
      <c r="AW463" s="1113"/>
      <c r="AX463" s="1113"/>
      <c r="AY463" s="1113"/>
      <c r="AZ463" s="1113"/>
      <c r="BA463" s="1113"/>
      <c r="BB463" s="1113"/>
      <c r="BC463" s="1113"/>
      <c r="BD463" s="1113"/>
      <c r="BE463" s="1113"/>
      <c r="BF463" s="1113"/>
      <c r="BG463" s="1114"/>
    </row>
    <row r="464" spans="10:83" ht="15.75" thickBot="1" x14ac:dyDescent="0.3"/>
    <row r="465" spans="37:59" ht="15.75" thickBot="1" x14ac:dyDescent="0.3">
      <c r="AK465" s="525" t="s">
        <v>511</v>
      </c>
      <c r="AL465" s="77" t="s">
        <v>0</v>
      </c>
      <c r="AM465" s="31" t="s">
        <v>1</v>
      </c>
      <c r="AN465" s="31" t="s">
        <v>2</v>
      </c>
      <c r="AO465" s="31" t="s">
        <v>3</v>
      </c>
      <c r="AP465" s="31" t="s">
        <v>4</v>
      </c>
      <c r="AQ465" s="31" t="s">
        <v>5</v>
      </c>
      <c r="AR465" s="31" t="s">
        <v>6</v>
      </c>
      <c r="AS465" s="31" t="s">
        <v>7</v>
      </c>
      <c r="AT465" s="31" t="s">
        <v>27</v>
      </c>
      <c r="AU465" s="31" t="s">
        <v>9</v>
      </c>
      <c r="AV465" s="31" t="s">
        <v>10</v>
      </c>
      <c r="AW465" s="31" t="s">
        <v>11</v>
      </c>
      <c r="AX465" s="31" t="s">
        <v>12</v>
      </c>
      <c r="AY465" s="31" t="s">
        <v>13</v>
      </c>
      <c r="AZ465" s="31" t="s">
        <v>14</v>
      </c>
      <c r="BA465" s="31" t="s">
        <v>15</v>
      </c>
      <c r="BB465" s="31" t="s">
        <v>16</v>
      </c>
      <c r="BC465" s="31" t="s">
        <v>17</v>
      </c>
      <c r="BD465" s="31" t="s">
        <v>18</v>
      </c>
      <c r="BE465" s="526" t="s">
        <v>300</v>
      </c>
      <c r="BF465" s="31" t="s">
        <v>203</v>
      </c>
      <c r="BG465" s="509" t="s">
        <v>201</v>
      </c>
    </row>
    <row r="466" spans="37:59" x14ac:dyDescent="0.25">
      <c r="AK466" s="279" t="s">
        <v>34</v>
      </c>
      <c r="AL466" s="539">
        <f>'[15]2016. I. - Állományi'!G38</f>
        <v>2659.8837619999999</v>
      </c>
      <c r="AM466" s="359">
        <f>'[15]2016. II. - Állományi'!G38</f>
        <v>2849.0509860000002</v>
      </c>
      <c r="AN466" s="359">
        <f>'[15]2016. III. - Állományi'!G38</f>
        <v>3025.708228</v>
      </c>
      <c r="AO466" s="359">
        <f>'[15]2016. IV.- Állományi'!G38</f>
        <v>3553.0146629999999</v>
      </c>
      <c r="AP466" s="359">
        <f>'[15]2017. I. - Állományi'!G38</f>
        <v>3899.8546799999999</v>
      </c>
      <c r="AQ466" s="359">
        <f>'[15]2017. II. - Állományi'!G38</f>
        <v>4683.7471370000003</v>
      </c>
      <c r="AR466" s="359">
        <f>'[15]2017. III. - Állományi'!G38</f>
        <v>6389.4322430000002</v>
      </c>
      <c r="AS466" s="359">
        <f>'[15]2017. IV. - Állományi'!G38</f>
        <v>4101.7815630000005</v>
      </c>
      <c r="AT466" s="359">
        <f>'[15]2018. I. - Állományi_R'!G39</f>
        <v>7024</v>
      </c>
      <c r="AU466" s="359">
        <f>'[15]2018. I. - Állományi_Új'!G29</f>
        <v>7268</v>
      </c>
      <c r="AV466" s="359">
        <f>'[15]2018. II. - Állományi_Új'!G29</f>
        <v>4015</v>
      </c>
      <c r="AW466" s="360">
        <f>'[15]2018. III. - Állományi_Új'!G29</f>
        <v>4057</v>
      </c>
      <c r="AX466" s="359">
        <f>'[15]2018. IV. - Állományi_Új'!G29</f>
        <v>7384</v>
      </c>
      <c r="AY466" s="359">
        <f>'[15]2019. I. Állomány adatok_Korr'!I34</f>
        <v>4968</v>
      </c>
      <c r="AZ466" s="359">
        <f>'[15]2019. II. Állomány adatok'!I32</f>
        <v>4723</v>
      </c>
      <c r="BA466" s="359">
        <f>'[15]2019. III. Állomány adatok'!I32</f>
        <v>5033</v>
      </c>
      <c r="BB466" s="359">
        <f>'[15]2019. IV. Állomány adatok'!I32</f>
        <v>5629</v>
      </c>
      <c r="BC466" s="359">
        <f>'[15]2020. I. Állomány adatok'!I34</f>
        <v>5581</v>
      </c>
      <c r="BD466" s="359">
        <f>'[15]2020. II. Állományi adatok'!I34</f>
        <v>5403</v>
      </c>
      <c r="BE466" s="539">
        <f>'[15]2020. III. Állományi adatok'!I34</f>
        <v>6029</v>
      </c>
      <c r="BF466" s="359">
        <f>'[15]2020. IV. Állományi adatok'!I34</f>
        <v>6145</v>
      </c>
      <c r="BG466" s="627">
        <f>'[15]2021. I. Állományi adatok'!I34</f>
        <v>6062</v>
      </c>
    </row>
    <row r="467" spans="37:59" ht="15.75" thickBot="1" x14ac:dyDescent="0.3">
      <c r="AK467" s="361" t="s">
        <v>35</v>
      </c>
      <c r="AL467" s="540">
        <f>'[15]2016. I. - Állományi'!G67</f>
        <v>244727.31562199997</v>
      </c>
      <c r="AM467" s="282">
        <f>'[15]2016. II. - Állományi'!G67</f>
        <v>242708.569594</v>
      </c>
      <c r="AN467" s="282">
        <f>'[15]2016. III. - Állományi'!G67</f>
        <v>259198.328354</v>
      </c>
      <c r="AO467" s="282">
        <f>'[15]2016. IV.- Állományi'!G67</f>
        <v>264509.76321599999</v>
      </c>
      <c r="AP467" s="282">
        <f>'[15]2017. I. - Állományi'!G67</f>
        <v>238355.45055800001</v>
      </c>
      <c r="AQ467" s="282">
        <f>'[15]2017. II. - Állományi'!G67</f>
        <v>222587.696088</v>
      </c>
      <c r="AR467" s="282">
        <f>'[15]2017. III. - Állományi'!G67</f>
        <v>237013.35672900002</v>
      </c>
      <c r="AS467" s="282">
        <f>'[15]2017. IV. - Állományi'!G67</f>
        <v>264633.26394599996</v>
      </c>
      <c r="AT467" s="282">
        <f>'[15]2018. I. - Állományi_R'!G69</f>
        <v>250712.53</v>
      </c>
      <c r="AU467" s="282">
        <f>'[15]2018. I. - Állományi_Új'!G69</f>
        <v>253330</v>
      </c>
      <c r="AV467" s="282">
        <f>'[15]2018. II. - Állományi_Új'!G69</f>
        <v>254781</v>
      </c>
      <c r="AW467" s="283">
        <f>'[15]2018. III. - Állományi_Új'!G69</f>
        <v>281208</v>
      </c>
      <c r="AX467" s="282">
        <f>'[15]2018. IV. - Állományi_Új'!G69</f>
        <v>293650</v>
      </c>
      <c r="AY467" s="282">
        <f>'[15]2019. I. Állomány adatok_Korr'!I76</f>
        <v>298936</v>
      </c>
      <c r="AZ467" s="282">
        <f>'[15]2019. II. Állomány adatok'!I74</f>
        <v>281980</v>
      </c>
      <c r="BA467" s="282">
        <f>'[15]2019. III. Állomány adatok'!I74</f>
        <v>291837</v>
      </c>
      <c r="BB467" s="282">
        <f>'[15]2019. IV. Állomány adatok'!I74</f>
        <v>322420</v>
      </c>
      <c r="BC467" s="282">
        <f>'[15]2020. I. Állomány adatok'!I81</f>
        <v>316069</v>
      </c>
      <c r="BD467" s="282">
        <f>'[15]2020. II. Állományi adatok'!I81</f>
        <v>295033</v>
      </c>
      <c r="BE467" s="540">
        <f>'[15]2020. III. Állományi adatok'!I81</f>
        <v>338804</v>
      </c>
      <c r="BF467" s="282">
        <f>'[15]2020. IV. Állományi adatok'!I81</f>
        <v>362061</v>
      </c>
      <c r="BG467" s="628">
        <f>'[15]2021. I. Állományi adatok'!I81</f>
        <v>374684</v>
      </c>
    </row>
    <row r="468" spans="37:59" x14ac:dyDescent="0.25">
      <c r="AK468" s="510" t="s">
        <v>50</v>
      </c>
      <c r="AL468" s="245">
        <f>AL466/AL470*100</f>
        <v>1.0751905388084646</v>
      </c>
      <c r="AM468" s="220">
        <f t="shared" ref="AM468:BG468" si="390">AM466/AM470*100</f>
        <v>1.1602372507400194</v>
      </c>
      <c r="AN468" s="220">
        <f t="shared" si="390"/>
        <v>1.1538637980861957</v>
      </c>
      <c r="AO468" s="220">
        <f t="shared" si="390"/>
        <v>1.3254412608541213</v>
      </c>
      <c r="AP468" s="220">
        <f t="shared" si="390"/>
        <v>1.6098118784926703</v>
      </c>
      <c r="AQ468" s="220">
        <f t="shared" si="390"/>
        <v>2.0608603837496049</v>
      </c>
      <c r="AR468" s="220">
        <f t="shared" si="390"/>
        <v>2.6250447950845022</v>
      </c>
      <c r="AS468" s="220">
        <f t="shared" si="390"/>
        <v>1.5263292345183284</v>
      </c>
      <c r="AT468" s="220">
        <f t="shared" si="390"/>
        <v>2.7252636636335565</v>
      </c>
      <c r="AU468" s="220">
        <f t="shared" si="390"/>
        <v>2.7889699844204485</v>
      </c>
      <c r="AV468" s="220">
        <f t="shared" si="390"/>
        <v>1.5514150141424135</v>
      </c>
      <c r="AW468" s="288">
        <f t="shared" si="390"/>
        <v>1.4221863880952799</v>
      </c>
      <c r="AX468" s="220">
        <f t="shared" si="390"/>
        <v>2.4528790767820245</v>
      </c>
      <c r="AY468" s="220">
        <f t="shared" si="390"/>
        <v>1.6347267558176268</v>
      </c>
      <c r="AZ468" s="220">
        <f t="shared" si="390"/>
        <v>1.6473493475826901</v>
      </c>
      <c r="BA468" s="220">
        <f t="shared" si="390"/>
        <v>1.6953548691346381</v>
      </c>
      <c r="BB468" s="220">
        <f t="shared" si="390"/>
        <v>1.715902197537563</v>
      </c>
      <c r="BC468" s="220">
        <f t="shared" si="390"/>
        <v>1.7351158091092802</v>
      </c>
      <c r="BD468" s="220">
        <f t="shared" si="390"/>
        <v>1.7983863451783408</v>
      </c>
      <c r="BE468" s="220">
        <f t="shared" si="390"/>
        <v>1.748382550393959</v>
      </c>
      <c r="BF468" s="220">
        <f t="shared" si="390"/>
        <v>1.6689027337957556</v>
      </c>
      <c r="BG468" s="220">
        <f t="shared" si="390"/>
        <v>1.5921375405125726</v>
      </c>
    </row>
    <row r="469" spans="37:59" ht="15.75" thickBot="1" x14ac:dyDescent="0.3">
      <c r="AK469" s="290" t="s">
        <v>502</v>
      </c>
      <c r="AL469" s="365">
        <f>AL467/AL470*100</f>
        <v>98.924809461191529</v>
      </c>
      <c r="AM469" s="292">
        <f t="shared" ref="AM469:BG469" si="391">AM467/AM470*100</f>
        <v>98.83976274925999</v>
      </c>
      <c r="AN469" s="292">
        <f t="shared" si="391"/>
        <v>98.846136201913808</v>
      </c>
      <c r="AO469" s="292">
        <f t="shared" si="391"/>
        <v>98.67455873914588</v>
      </c>
      <c r="AP469" s="292">
        <f t="shared" si="391"/>
        <v>98.390188121507336</v>
      </c>
      <c r="AQ469" s="292">
        <f t="shared" si="391"/>
        <v>97.939139616250387</v>
      </c>
      <c r="AR469" s="292">
        <f t="shared" si="391"/>
        <v>97.374955204915508</v>
      </c>
      <c r="AS469" s="292">
        <f t="shared" si="391"/>
        <v>98.473670765481671</v>
      </c>
      <c r="AT469" s="292">
        <f t="shared" si="391"/>
        <v>97.274736336366445</v>
      </c>
      <c r="AU469" s="292">
        <f t="shared" si="391"/>
        <v>97.211030015579553</v>
      </c>
      <c r="AV469" s="292">
        <f t="shared" si="391"/>
        <v>98.448584985857593</v>
      </c>
      <c r="AW469" s="293">
        <f t="shared" si="391"/>
        <v>98.577813611904716</v>
      </c>
      <c r="AX469" s="292">
        <f t="shared" si="391"/>
        <v>97.547120923217975</v>
      </c>
      <c r="AY469" s="292">
        <f t="shared" si="391"/>
        <v>98.365273244182376</v>
      </c>
      <c r="AZ469" s="292">
        <f t="shared" si="391"/>
        <v>98.35265065241731</v>
      </c>
      <c r="BA469" s="292">
        <f t="shared" si="391"/>
        <v>98.304645130865367</v>
      </c>
      <c r="BB469" s="292">
        <f t="shared" si="391"/>
        <v>98.284097802462441</v>
      </c>
      <c r="BC469" s="292">
        <f t="shared" si="391"/>
        <v>98.264884190890726</v>
      </c>
      <c r="BD469" s="292">
        <f t="shared" si="391"/>
        <v>98.201613654821656</v>
      </c>
      <c r="BE469" s="292">
        <f t="shared" si="391"/>
        <v>98.251617449606044</v>
      </c>
      <c r="BF469" s="292">
        <f t="shared" si="391"/>
        <v>98.331097266204253</v>
      </c>
      <c r="BG469" s="292">
        <f t="shared" si="391"/>
        <v>98.407862459487433</v>
      </c>
    </row>
    <row r="470" spans="37:59" x14ac:dyDescent="0.25">
      <c r="AK470" s="610" t="s">
        <v>505</v>
      </c>
      <c r="AL470" s="370">
        <f t="shared" ref="AL470:AW470" si="392">AL466+AL467</f>
        <v>247387.19938399998</v>
      </c>
      <c r="AM470" s="371">
        <f t="shared" si="392"/>
        <v>245557.62057999999</v>
      </c>
      <c r="AN470" s="371">
        <f t="shared" si="392"/>
        <v>262224.03658199997</v>
      </c>
      <c r="AO470" s="371">
        <f t="shared" si="392"/>
        <v>268062.777879</v>
      </c>
      <c r="AP470" s="371">
        <f t="shared" si="392"/>
        <v>242255.305238</v>
      </c>
      <c r="AQ470" s="371">
        <f t="shared" si="392"/>
        <v>227271.443225</v>
      </c>
      <c r="AR470" s="371">
        <f t="shared" si="392"/>
        <v>243402.78897200001</v>
      </c>
      <c r="AS470" s="371">
        <f t="shared" si="392"/>
        <v>268735.04550899996</v>
      </c>
      <c r="AT470" s="371">
        <f t="shared" si="392"/>
        <v>257736.53</v>
      </c>
      <c r="AU470" s="371">
        <f t="shared" si="392"/>
        <v>260598</v>
      </c>
      <c r="AV470" s="371">
        <f t="shared" si="392"/>
        <v>258796</v>
      </c>
      <c r="AW470" s="372">
        <f t="shared" si="392"/>
        <v>285265</v>
      </c>
      <c r="AX470" s="371">
        <f>AX466+AX467</f>
        <v>301034</v>
      </c>
      <c r="AY470" s="371">
        <f>AY466+AY467</f>
        <v>303904</v>
      </c>
      <c r="AZ470" s="371">
        <f>AZ466+AZ467</f>
        <v>286703</v>
      </c>
      <c r="BA470" s="371">
        <f>BA466+BA467</f>
        <v>296870</v>
      </c>
      <c r="BB470" s="371">
        <f>BB466+BB467</f>
        <v>328049</v>
      </c>
      <c r="BC470" s="371">
        <f t="shared" ref="BC470:BG470" si="393">BC466+BC467</f>
        <v>321650</v>
      </c>
      <c r="BD470" s="371">
        <f t="shared" si="393"/>
        <v>300436</v>
      </c>
      <c r="BE470" s="371">
        <f t="shared" si="393"/>
        <v>344833</v>
      </c>
      <c r="BF470" s="371">
        <f t="shared" si="393"/>
        <v>368206</v>
      </c>
      <c r="BG470" s="371">
        <f t="shared" si="393"/>
        <v>380746</v>
      </c>
    </row>
    <row r="471" spans="37:59" x14ac:dyDescent="0.25">
      <c r="AK471" s="448" t="s">
        <v>512</v>
      </c>
      <c r="AL471" s="248">
        <f>AL470/AL472*100</f>
        <v>64.453824382896158</v>
      </c>
      <c r="AM471" s="223">
        <f t="shared" ref="AM471:BG471" si="394">AM470/AM472*100</f>
        <v>62.983763325462519</v>
      </c>
      <c r="AN471" s="223">
        <f t="shared" si="394"/>
        <v>63.046487950998163</v>
      </c>
      <c r="AO471" s="223">
        <f t="shared" si="394"/>
        <v>63.482231201458404</v>
      </c>
      <c r="AP471" s="223">
        <f t="shared" si="394"/>
        <v>61.681769208533964</v>
      </c>
      <c r="AQ471" s="223">
        <f t="shared" si="394"/>
        <v>59.261729363558302</v>
      </c>
      <c r="AR471" s="223">
        <f t="shared" si="394"/>
        <v>56.801710691600164</v>
      </c>
      <c r="AS471" s="223">
        <f t="shared" si="394"/>
        <v>58.425070213738493</v>
      </c>
      <c r="AT471" s="223">
        <f t="shared" si="394"/>
        <v>57.224994883895796</v>
      </c>
      <c r="AU471" s="223">
        <f t="shared" si="394"/>
        <v>57.473485023918059</v>
      </c>
      <c r="AV471" s="223">
        <f t="shared" si="394"/>
        <v>55.633039829400843</v>
      </c>
      <c r="AW471" s="223">
        <f t="shared" si="394"/>
        <v>57.51635172953312</v>
      </c>
      <c r="AX471" s="223">
        <f t="shared" si="394"/>
        <v>59.593817988173647</v>
      </c>
      <c r="AY471" s="223">
        <f t="shared" si="394"/>
        <v>58.392657109534262</v>
      </c>
      <c r="AZ471" s="223">
        <f t="shared" si="394"/>
        <v>56.127131418727117</v>
      </c>
      <c r="BA471" s="223">
        <f t="shared" si="394"/>
        <v>54.325429212430421</v>
      </c>
      <c r="BB471" s="223">
        <f t="shared" si="394"/>
        <v>60.204849436948514</v>
      </c>
      <c r="BC471" s="223">
        <f t="shared" si="394"/>
        <v>57.525365887438355</v>
      </c>
      <c r="BD471" s="223">
        <f t="shared" si="394"/>
        <v>56.641259080085746</v>
      </c>
      <c r="BE471" s="223">
        <f t="shared" si="394"/>
        <v>58.126673004699583</v>
      </c>
      <c r="BF471" s="223">
        <f t="shared" si="394"/>
        <v>59.728420174964761</v>
      </c>
      <c r="BG471" s="223">
        <f t="shared" si="394"/>
        <v>61.33852293029647</v>
      </c>
    </row>
    <row r="472" spans="37:59" ht="15.75" thickBot="1" x14ac:dyDescent="0.3">
      <c r="AK472" s="610" t="s">
        <v>482</v>
      </c>
      <c r="AL472" s="387">
        <f>AL470+AL508</f>
        <v>383820.82328329317</v>
      </c>
      <c r="AM472" s="388">
        <f t="shared" ref="AM472:AT472" si="395">AM470+AM508</f>
        <v>389874.48131847044</v>
      </c>
      <c r="AN472" s="388">
        <f t="shared" si="395"/>
        <v>415921.71920156642</v>
      </c>
      <c r="AO472" s="388">
        <f t="shared" si="395"/>
        <v>422264.2664028508</v>
      </c>
      <c r="AP472" s="388">
        <f t="shared" si="395"/>
        <v>392750.25399965805</v>
      </c>
      <c r="AQ472" s="388">
        <f t="shared" si="395"/>
        <v>383504.57481714257</v>
      </c>
      <c r="AR472" s="388">
        <f t="shared" si="395"/>
        <v>428513.13104553102</v>
      </c>
      <c r="AS472" s="388">
        <f t="shared" si="395"/>
        <v>459965.29319669976</v>
      </c>
      <c r="AT472" s="388">
        <f t="shared" si="395"/>
        <v>450391.53</v>
      </c>
      <c r="AU472" s="388">
        <v>453423</v>
      </c>
      <c r="AV472" s="388">
        <v>465184</v>
      </c>
      <c r="AW472" s="389">
        <v>495972</v>
      </c>
      <c r="AX472" s="388">
        <v>505143</v>
      </c>
      <c r="AY472" s="388">
        <v>520449</v>
      </c>
      <c r="AZ472" s="388">
        <v>510810</v>
      </c>
      <c r="BA472" s="388">
        <v>546466</v>
      </c>
      <c r="BB472" s="388">
        <v>544888</v>
      </c>
      <c r="BC472" s="388">
        <v>559144.64</v>
      </c>
      <c r="BD472" s="388">
        <v>530419</v>
      </c>
      <c r="BE472" s="388">
        <v>593244</v>
      </c>
      <c r="BF472" s="388">
        <v>616467</v>
      </c>
      <c r="BG472" s="633">
        <v>620729</v>
      </c>
    </row>
    <row r="473" spans="37:59" x14ac:dyDescent="0.25">
      <c r="AK473" s="25" t="s">
        <v>513</v>
      </c>
      <c r="AL473" s="398">
        <v>0</v>
      </c>
      <c r="AM473" s="232">
        <f>AM470/AL470*100-100</f>
        <v>-0.73956082147972779</v>
      </c>
      <c r="AN473" s="232">
        <f t="shared" ref="AN473:AY473" si="396">AN470/AM470*100-100</f>
        <v>6.7871711587017387</v>
      </c>
      <c r="AO473" s="232">
        <f t="shared" si="396"/>
        <v>2.2266232238302877</v>
      </c>
      <c r="AP473" s="232">
        <f t="shared" si="396"/>
        <v>-9.6273987926250442</v>
      </c>
      <c r="AQ473" s="232">
        <f t="shared" si="396"/>
        <v>-6.1851533027437</v>
      </c>
      <c r="AR473" s="232">
        <f t="shared" si="396"/>
        <v>7.0978322300835117</v>
      </c>
      <c r="AS473" s="232">
        <f t="shared" si="396"/>
        <v>10.407545716295829</v>
      </c>
      <c r="AT473" s="232">
        <f t="shared" si="396"/>
        <v>-4.0926986237199259</v>
      </c>
      <c r="AU473" s="232">
        <f t="shared" si="396"/>
        <v>1.1102306685047694</v>
      </c>
      <c r="AV473" s="232">
        <f t="shared" si="396"/>
        <v>-0.69148650411744939</v>
      </c>
      <c r="AW473" s="550">
        <f t="shared" si="396"/>
        <v>10.227746951266624</v>
      </c>
      <c r="AX473" s="232">
        <f t="shared" si="396"/>
        <v>5.5278425323821665</v>
      </c>
      <c r="AY473" s="232">
        <f t="shared" si="396"/>
        <v>0.95338068125194297</v>
      </c>
      <c r="AZ473" s="232">
        <f>AZ470/AX470*100-100</f>
        <v>-4.7605918268368299</v>
      </c>
      <c r="BA473" s="232">
        <f t="shared" ref="BA473:BG473" si="397">BA470/AZ470*100-100</f>
        <v>3.5461784494755761</v>
      </c>
      <c r="BB473" s="232">
        <f t="shared" si="397"/>
        <v>10.502576885505448</v>
      </c>
      <c r="BC473" s="232">
        <f t="shared" si="397"/>
        <v>-1.9506232300662418</v>
      </c>
      <c r="BD473" s="232">
        <f t="shared" si="397"/>
        <v>-6.59536763562879</v>
      </c>
      <c r="BE473" s="232">
        <f t="shared" si="397"/>
        <v>14.777523332756388</v>
      </c>
      <c r="BF473" s="232">
        <f t="shared" si="397"/>
        <v>6.7780635844017212</v>
      </c>
      <c r="BG473" s="232">
        <f t="shared" si="397"/>
        <v>3.4057022427662815</v>
      </c>
    </row>
    <row r="474" spans="37:59" x14ac:dyDescent="0.25">
      <c r="AK474" s="15" t="s">
        <v>514</v>
      </c>
      <c r="AL474" s="13">
        <f>AL466/AL472*100</f>
        <v>0.69300142166512269</v>
      </c>
      <c r="AM474" s="458">
        <f t="shared" ref="AM474:BG474" si="398">AM466/AM472*100</f>
        <v>0.73076108401994699</v>
      </c>
      <c r="AN474" s="458">
        <f t="shared" si="398"/>
        <v>0.72747060043134304</v>
      </c>
      <c r="AO474" s="458">
        <f t="shared" si="398"/>
        <v>0.84141968565493852</v>
      </c>
      <c r="AP474" s="458">
        <f t="shared" si="398"/>
        <v>0.99296044758341395</v>
      </c>
      <c r="AQ474" s="458">
        <f t="shared" si="398"/>
        <v>1.22130150317848</v>
      </c>
      <c r="AR474" s="458">
        <f t="shared" si="398"/>
        <v>1.4910703500288069</v>
      </c>
      <c r="AS474" s="458">
        <f t="shared" si="398"/>
        <v>0.89175892696015058</v>
      </c>
      <c r="AT474" s="458">
        <f t="shared" si="398"/>
        <v>1.5595319920869737</v>
      </c>
      <c r="AU474" s="458">
        <f t="shared" si="398"/>
        <v>1.6029182463174565</v>
      </c>
      <c r="AV474" s="458">
        <f t="shared" si="398"/>
        <v>0.86309933273715345</v>
      </c>
      <c r="AW474" s="459">
        <f t="shared" si="398"/>
        <v>0.8179897252264241</v>
      </c>
      <c r="AX474" s="14">
        <f t="shared" si="398"/>
        <v>1.4617642924874739</v>
      </c>
      <c r="AY474" s="14">
        <f t="shared" si="398"/>
        <v>0.95456038920240027</v>
      </c>
      <c r="AZ474" s="14">
        <f t="shared" si="398"/>
        <v>0.92460993324328022</v>
      </c>
      <c r="BA474" s="14">
        <f t="shared" si="398"/>
        <v>0.92100880933123008</v>
      </c>
      <c r="BB474" s="14">
        <f t="shared" si="398"/>
        <v>1.0330563345127806</v>
      </c>
      <c r="BC474" s="14">
        <f t="shared" si="398"/>
        <v>0.99813171776089982</v>
      </c>
      <c r="BD474" s="14">
        <f t="shared" si="398"/>
        <v>1.018628669033349</v>
      </c>
      <c r="BE474" s="14">
        <f t="shared" si="398"/>
        <v>1.0162766079387233</v>
      </c>
      <c r="BF474" s="14">
        <f t="shared" si="398"/>
        <v>0.99680923715300251</v>
      </c>
      <c r="BG474" s="14">
        <f t="shared" si="398"/>
        <v>0.97659365036916279</v>
      </c>
    </row>
    <row r="475" spans="37:59" ht="15.75" thickBot="1" x14ac:dyDescent="0.3">
      <c r="AK475" s="15" t="s">
        <v>515</v>
      </c>
      <c r="AL475" s="402">
        <f>AL467/AL472*100</f>
        <v>63.760822961231035</v>
      </c>
      <c r="AM475" s="501">
        <f t="shared" ref="AM475:BG475" si="399">AM467/AM472*100</f>
        <v>62.253002241442566</v>
      </c>
      <c r="AN475" s="501">
        <f t="shared" si="399"/>
        <v>62.319017350566817</v>
      </c>
      <c r="AO475" s="501">
        <f t="shared" si="399"/>
        <v>62.640811515803463</v>
      </c>
      <c r="AP475" s="501">
        <f t="shared" si="399"/>
        <v>60.68880876095055</v>
      </c>
      <c r="AQ475" s="501">
        <f t="shared" si="399"/>
        <v>58.040427860379829</v>
      </c>
      <c r="AR475" s="501">
        <f t="shared" si="399"/>
        <v>55.310640341571357</v>
      </c>
      <c r="AS475" s="501">
        <f t="shared" si="399"/>
        <v>57.533311286778343</v>
      </c>
      <c r="AT475" s="501">
        <f t="shared" si="399"/>
        <v>55.665462891808815</v>
      </c>
      <c r="AU475" s="501">
        <f t="shared" si="399"/>
        <v>55.870566777600608</v>
      </c>
      <c r="AV475" s="501">
        <f t="shared" si="399"/>
        <v>54.769940496663679</v>
      </c>
      <c r="AW475" s="612">
        <f t="shared" si="399"/>
        <v>56.698362004306688</v>
      </c>
      <c r="AX475" s="403">
        <f t="shared" si="399"/>
        <v>58.132053695686167</v>
      </c>
      <c r="AY475" s="403">
        <f t="shared" si="399"/>
        <v>57.438096720331863</v>
      </c>
      <c r="AZ475" s="403">
        <f t="shared" si="399"/>
        <v>55.202521485483835</v>
      </c>
      <c r="BA475" s="403">
        <f t="shared" si="399"/>
        <v>53.404420403099181</v>
      </c>
      <c r="BB475" s="403">
        <f t="shared" si="399"/>
        <v>59.171793102435736</v>
      </c>
      <c r="BC475" s="403">
        <f t="shared" si="399"/>
        <v>56.527234169677456</v>
      </c>
      <c r="BD475" s="403">
        <f t="shared" si="399"/>
        <v>55.622630411052398</v>
      </c>
      <c r="BE475" s="403">
        <f t="shared" si="399"/>
        <v>57.110396396760862</v>
      </c>
      <c r="BF475" s="403">
        <f t="shared" si="399"/>
        <v>58.731610937811752</v>
      </c>
      <c r="BG475" s="403">
        <f t="shared" si="399"/>
        <v>60.36192927992731</v>
      </c>
    </row>
    <row r="476" spans="37:59" ht="15.75" thickBot="1" x14ac:dyDescent="0.3">
      <c r="AK476" s="12" t="s">
        <v>26</v>
      </c>
      <c r="AL476" s="464">
        <f>AL472+AL454</f>
        <v>825056.82328329317</v>
      </c>
      <c r="AM476" s="465">
        <f t="shared" ref="AM476:AT476" si="400">AM472+AM454</f>
        <v>848204.48131847044</v>
      </c>
      <c r="AN476" s="465">
        <f t="shared" si="400"/>
        <v>924695.71920156642</v>
      </c>
      <c r="AO476" s="465">
        <f t="shared" si="400"/>
        <v>985514.26640285086</v>
      </c>
      <c r="AP476" s="465">
        <f t="shared" si="400"/>
        <v>997790.25399965805</v>
      </c>
      <c r="AQ476" s="465">
        <f t="shared" si="400"/>
        <v>1005984.5748171426</v>
      </c>
      <c r="AR476" s="465">
        <f t="shared" si="400"/>
        <v>1073237.131045531</v>
      </c>
      <c r="AS476" s="465">
        <f t="shared" si="400"/>
        <v>1070624.2931966998</v>
      </c>
      <c r="AT476" s="465">
        <f t="shared" si="400"/>
        <v>1030759.53</v>
      </c>
      <c r="AU476" s="465">
        <v>1072544</v>
      </c>
      <c r="AV476" s="465">
        <v>1109892</v>
      </c>
      <c r="AW476" s="465">
        <v>1163376</v>
      </c>
      <c r="AX476" s="465">
        <v>1129593</v>
      </c>
      <c r="AY476" s="465">
        <v>1205011</v>
      </c>
      <c r="AZ476" s="465">
        <v>1233423</v>
      </c>
      <c r="BA476" s="465">
        <v>1292983</v>
      </c>
      <c r="BB476" s="465">
        <v>1273745</v>
      </c>
      <c r="BC476" s="465">
        <v>1292276.71</v>
      </c>
      <c r="BD476" s="465">
        <v>1306049</v>
      </c>
      <c r="BE476" s="482">
        <v>1405757</v>
      </c>
      <c r="BF476" s="465">
        <v>1431391</v>
      </c>
      <c r="BG476" s="636">
        <v>1435198</v>
      </c>
    </row>
    <row r="477" spans="37:59" ht="15.75" thickBot="1" x14ac:dyDescent="0.3">
      <c r="AK477" s="639" t="s">
        <v>498</v>
      </c>
      <c r="AL477" s="640">
        <f>AL470/AL472*100</f>
        <v>64.453824382896158</v>
      </c>
      <c r="AM477" s="641">
        <f t="shared" ref="AM477:BG477" si="401">AM470/AM472*100</f>
        <v>62.983763325462519</v>
      </c>
      <c r="AN477" s="641">
        <f t="shared" si="401"/>
        <v>63.046487950998163</v>
      </c>
      <c r="AO477" s="641">
        <f t="shared" si="401"/>
        <v>63.482231201458404</v>
      </c>
      <c r="AP477" s="641">
        <f t="shared" si="401"/>
        <v>61.681769208533964</v>
      </c>
      <c r="AQ477" s="641">
        <f t="shared" si="401"/>
        <v>59.261729363558302</v>
      </c>
      <c r="AR477" s="641">
        <f t="shared" si="401"/>
        <v>56.801710691600164</v>
      </c>
      <c r="AS477" s="641">
        <f t="shared" si="401"/>
        <v>58.425070213738493</v>
      </c>
      <c r="AT477" s="641">
        <f t="shared" si="401"/>
        <v>57.224994883895796</v>
      </c>
      <c r="AU477" s="641">
        <f t="shared" si="401"/>
        <v>57.473485023918059</v>
      </c>
      <c r="AV477" s="641">
        <f t="shared" si="401"/>
        <v>55.633039829400843</v>
      </c>
      <c r="AW477" s="641">
        <f t="shared" si="401"/>
        <v>57.51635172953312</v>
      </c>
      <c r="AX477" s="641">
        <f t="shared" si="401"/>
        <v>59.593817988173647</v>
      </c>
      <c r="AY477" s="641">
        <f t="shared" si="401"/>
        <v>58.392657109534262</v>
      </c>
      <c r="AZ477" s="641">
        <f t="shared" si="401"/>
        <v>56.127131418727117</v>
      </c>
      <c r="BA477" s="641">
        <f t="shared" si="401"/>
        <v>54.325429212430421</v>
      </c>
      <c r="BB477" s="641">
        <f t="shared" si="401"/>
        <v>60.204849436948514</v>
      </c>
      <c r="BC477" s="641">
        <f t="shared" si="401"/>
        <v>57.525365887438355</v>
      </c>
      <c r="BD477" s="641">
        <f t="shared" si="401"/>
        <v>56.641259080085746</v>
      </c>
      <c r="BE477" s="641">
        <f t="shared" si="401"/>
        <v>58.126673004699583</v>
      </c>
      <c r="BF477" s="641">
        <f t="shared" si="401"/>
        <v>59.728420174964761</v>
      </c>
      <c r="BG477" s="641">
        <f t="shared" si="401"/>
        <v>61.33852293029647</v>
      </c>
    </row>
    <row r="478" spans="37:59" ht="15.75" thickBot="1" x14ac:dyDescent="0.3">
      <c r="AK478" s="336" t="s">
        <v>516</v>
      </c>
      <c r="AL478" s="613">
        <f>AL470/AL476*100</f>
        <v>29.984261980832876</v>
      </c>
      <c r="AM478" s="258">
        <f t="shared" ref="AM478:BG478" si="402">AM470/AM476*100</f>
        <v>28.95028569034427</v>
      </c>
      <c r="AN478" s="258">
        <f t="shared" si="402"/>
        <v>28.35787288043452</v>
      </c>
      <c r="AO478" s="258">
        <f t="shared" si="402"/>
        <v>27.200294000556191</v>
      </c>
      <c r="AP478" s="258">
        <f t="shared" si="402"/>
        <v>24.279181347674601</v>
      </c>
      <c r="AQ478" s="258">
        <f t="shared" si="402"/>
        <v>22.591941160361333</v>
      </c>
      <c r="AR478" s="258">
        <f t="shared" si="402"/>
        <v>22.679311210084652</v>
      </c>
      <c r="AS478" s="258">
        <f t="shared" si="402"/>
        <v>25.100779724192822</v>
      </c>
      <c r="AT478" s="258">
        <f t="shared" si="402"/>
        <v>25.004525546322139</v>
      </c>
      <c r="AU478" s="258">
        <f t="shared" si="402"/>
        <v>24.29718501059164</v>
      </c>
      <c r="AV478" s="258">
        <f t="shared" si="402"/>
        <v>23.317223657797335</v>
      </c>
      <c r="AW478" s="258">
        <f t="shared" si="402"/>
        <v>24.520447387602974</v>
      </c>
      <c r="AX478" s="258">
        <f t="shared" si="402"/>
        <v>26.649775627150664</v>
      </c>
      <c r="AY478" s="258">
        <f t="shared" si="402"/>
        <v>25.220018738418155</v>
      </c>
      <c r="AZ478" s="258">
        <f t="shared" si="402"/>
        <v>23.24449925127065</v>
      </c>
      <c r="BA478" s="258">
        <f t="shared" si="402"/>
        <v>22.960085322080801</v>
      </c>
      <c r="BB478" s="258">
        <f t="shared" si="402"/>
        <v>25.754684022312158</v>
      </c>
      <c r="BC478" s="258">
        <f t="shared" si="402"/>
        <v>24.890180060584704</v>
      </c>
      <c r="BD478" s="258">
        <f t="shared" si="402"/>
        <v>23.003424833218354</v>
      </c>
      <c r="BE478" s="258">
        <f t="shared" si="402"/>
        <v>24.530057470814658</v>
      </c>
      <c r="BF478" s="258">
        <f t="shared" si="402"/>
        <v>25.723649233507828</v>
      </c>
      <c r="BG478" s="258">
        <f t="shared" si="402"/>
        <v>26.52916182993566</v>
      </c>
    </row>
    <row r="479" spans="37:59" x14ac:dyDescent="0.25">
      <c r="AK479" s="100"/>
      <c r="AL479" s="152"/>
      <c r="AM479" s="152"/>
      <c r="AN479" s="152"/>
      <c r="AO479" s="152"/>
      <c r="AP479" s="152"/>
      <c r="AQ479" s="152"/>
      <c r="AR479" s="152"/>
      <c r="AS479" s="152"/>
      <c r="AT479" s="152"/>
      <c r="AU479" s="152"/>
      <c r="AV479" s="152"/>
      <c r="AW479" s="152"/>
    </row>
    <row r="480" spans="37:59" x14ac:dyDescent="0.25">
      <c r="AK480" s="100"/>
      <c r="AL480" s="152"/>
      <c r="AM480" s="152"/>
      <c r="AN480" s="152"/>
      <c r="AO480" s="152"/>
      <c r="AP480" s="152"/>
      <c r="AQ480" s="152"/>
      <c r="AR480" s="152"/>
      <c r="AS480" s="152"/>
      <c r="AT480" s="152">
        <f>AT452+AT470</f>
        <v>791335.51600000006</v>
      </c>
      <c r="AU480" s="152"/>
      <c r="AV480" s="152"/>
      <c r="AW480" s="152"/>
    </row>
    <row r="481" spans="37:61" ht="15.75" thickBot="1" x14ac:dyDescent="0.3"/>
    <row r="482" spans="37:61" ht="19.5" thickBot="1" x14ac:dyDescent="0.35">
      <c r="AK482" s="1112" t="s">
        <v>517</v>
      </c>
      <c r="AL482" s="1113"/>
      <c r="AM482" s="1113"/>
      <c r="AN482" s="1113"/>
      <c r="AO482" s="1113"/>
      <c r="AP482" s="1113"/>
      <c r="AQ482" s="1113"/>
      <c r="AR482" s="1113"/>
      <c r="AS482" s="1113"/>
      <c r="AT482" s="1113"/>
      <c r="AU482" s="1113"/>
      <c r="AV482" s="1113"/>
      <c r="AW482" s="1113"/>
      <c r="AX482" s="1113"/>
      <c r="AY482" s="1113"/>
      <c r="AZ482" s="1113"/>
      <c r="BA482" s="1113"/>
      <c r="BB482" s="1113"/>
      <c r="BC482" s="1113"/>
      <c r="BD482" s="1113"/>
      <c r="BE482" s="1113"/>
      <c r="BF482" s="1113"/>
      <c r="BG482" s="1114"/>
    </row>
    <row r="483" spans="37:61" ht="15.75" thickBot="1" x14ac:dyDescent="0.3"/>
    <row r="484" spans="37:61" ht="15.75" thickBot="1" x14ac:dyDescent="0.3">
      <c r="AK484" s="67" t="s">
        <v>518</v>
      </c>
      <c r="AL484" s="77" t="s">
        <v>0</v>
      </c>
      <c r="AM484" s="31" t="s">
        <v>1</v>
      </c>
      <c r="AN484" s="31" t="s">
        <v>2</v>
      </c>
      <c r="AO484" s="31" t="s">
        <v>3</v>
      </c>
      <c r="AP484" s="31" t="s">
        <v>4</v>
      </c>
      <c r="AQ484" s="31" t="s">
        <v>5</v>
      </c>
      <c r="AR484" s="31" t="s">
        <v>6</v>
      </c>
      <c r="AS484" s="31" t="s">
        <v>7</v>
      </c>
      <c r="AT484" s="31" t="s">
        <v>27</v>
      </c>
      <c r="AU484" s="31" t="s">
        <v>9</v>
      </c>
      <c r="AV484" s="31" t="s">
        <v>10</v>
      </c>
      <c r="AW484" s="31" t="s">
        <v>11</v>
      </c>
      <c r="AX484" s="31" t="s">
        <v>12</v>
      </c>
      <c r="AY484" s="31" t="s">
        <v>13</v>
      </c>
      <c r="AZ484" s="31" t="s">
        <v>14</v>
      </c>
      <c r="BA484" s="31" t="s">
        <v>15</v>
      </c>
      <c r="BB484" s="31" t="s">
        <v>16</v>
      </c>
      <c r="BC484" s="31" t="s">
        <v>17</v>
      </c>
      <c r="BD484" s="31" t="s">
        <v>18</v>
      </c>
      <c r="BE484" s="526" t="s">
        <v>300</v>
      </c>
      <c r="BF484" s="31" t="s">
        <v>203</v>
      </c>
      <c r="BG484" s="509" t="s">
        <v>201</v>
      </c>
    </row>
    <row r="485" spans="37:61" x14ac:dyDescent="0.25">
      <c r="AK485" s="279" t="s">
        <v>34</v>
      </c>
      <c r="AL485" s="539">
        <f>'[15]2016. I. - Állományi'!L37</f>
        <v>3446.09953326</v>
      </c>
      <c r="AM485" s="359">
        <f>'[15]2016. II. - Állományi'!L37</f>
        <v>2397.925283</v>
      </c>
      <c r="AN485" s="359">
        <f>'[15]2016. III. - Állományi'!L37</f>
        <v>3522.8592880000001</v>
      </c>
      <c r="AO485" s="359">
        <f>'[15]2016. IV.- Állományi'!L37</f>
        <v>4211.15715</v>
      </c>
      <c r="AP485" s="359">
        <f>'[15]2017. I. - Állományi'!L37</f>
        <v>4019.7194641800002</v>
      </c>
      <c r="AQ485" s="359">
        <f>'[15]2017. II. - Állományi'!L37</f>
        <v>5610.3511313199997</v>
      </c>
      <c r="AR485" s="359">
        <f>'[15]2017. III. - Állományi'!L37</f>
        <v>7062.87689426</v>
      </c>
      <c r="AS485" s="359">
        <f>'[15]2017. IV. - Állományi'!L37</f>
        <v>6704.4835095899998</v>
      </c>
      <c r="AT485" s="359">
        <f>'[15]2018. I. - Állományi_R'!L38</f>
        <v>5586</v>
      </c>
      <c r="AU485" s="359">
        <f>'[15]2018. I. - Állományi_Új'!L14</f>
        <v>5595</v>
      </c>
      <c r="AV485" s="359">
        <f>'[15]2018. II. - Állományi_Új'!L14</f>
        <v>4609</v>
      </c>
      <c r="AW485" s="360">
        <f>'[15]2018. III. - Állományi_Új'!L14</f>
        <v>6358</v>
      </c>
      <c r="AX485" s="359">
        <f>'[15]2018. IV. - Állományi_Új'!L14</f>
        <v>6822</v>
      </c>
      <c r="AY485" s="359">
        <f>'[15]2019. I. Állomány adatok_Korr'!N19</f>
        <v>5633</v>
      </c>
      <c r="AZ485" s="359">
        <f>'[15]2019. II. Állomány adatok'!N17</f>
        <v>4289</v>
      </c>
      <c r="BA485" s="359">
        <f>'[15]2019. III. Állomány adatok'!N17</f>
        <v>6263</v>
      </c>
      <c r="BB485" s="359">
        <f>'[15]2019. IV. Állomány adatok'!N17</f>
        <v>6500</v>
      </c>
      <c r="BC485" s="359">
        <f>'[15]2020. I. Állomány adatok'!N18</f>
        <v>5681</v>
      </c>
      <c r="BD485" s="359">
        <f>'[15]2020. II. Állományi adatok'!N18</f>
        <v>5006</v>
      </c>
      <c r="BE485" s="539">
        <f>'[15]2020. III. Állományi adatok'!N18</f>
        <v>4454</v>
      </c>
      <c r="BF485" s="359">
        <f>'[15]2020. IV. Állományi adatok'!N18</f>
        <v>4656</v>
      </c>
      <c r="BG485" s="627">
        <f>'[15]2021. I. Állományi adatok'!N18</f>
        <v>4284</v>
      </c>
    </row>
    <row r="486" spans="37:61" ht="15.75" thickBot="1" x14ac:dyDescent="0.3">
      <c r="AK486" s="361" t="s">
        <v>35</v>
      </c>
      <c r="AL486" s="540">
        <f>'[15]2016. I. - Állományi'!L53</f>
        <v>27918.3686961536</v>
      </c>
      <c r="AM486" s="282">
        <f>'[15]2016. II. - Állományi'!L53</f>
        <v>26936.8664665744</v>
      </c>
      <c r="AN486" s="282">
        <f>'[15]2016. III. - Állományi'!L53</f>
        <v>30648.892838890501</v>
      </c>
      <c r="AO486" s="282">
        <f>'[15]2016. IV.- Állományi'!L53</f>
        <v>33449.508938791398</v>
      </c>
      <c r="AP486" s="282">
        <f>'[15]2017. I. - Állományi'!L53</f>
        <v>37120.423306192002</v>
      </c>
      <c r="AQ486" s="282">
        <f>'[15]2017. II. - Állományi'!L53</f>
        <v>36386.138321365201</v>
      </c>
      <c r="AR486" s="282">
        <f>'[15]2017. III. - Állományi'!L53</f>
        <v>39706.746811110897</v>
      </c>
      <c r="AS486" s="282">
        <f>'[15]2017. IV. - Állományi'!L53</f>
        <v>39204.654490384593</v>
      </c>
      <c r="AT486" s="282">
        <f>'[15]2018. I. - Állományi_R'!L54</f>
        <v>41183</v>
      </c>
      <c r="AU486" s="282">
        <f>'[15]2018. I. - Állományi_Új'!L54</f>
        <v>41547</v>
      </c>
      <c r="AV486" s="282">
        <f>'[15]2018. II. - Állományi_Új'!L54</f>
        <v>44117</v>
      </c>
      <c r="AW486" s="283">
        <f>'[15]2018. III. - Állományi_Új'!L54</f>
        <v>44938</v>
      </c>
      <c r="AX486" s="282">
        <f>'[15]2018. IV. - Állományi_Új'!L54</f>
        <v>45747</v>
      </c>
      <c r="AY486" s="282">
        <f>'[15]2019. I. Állomány adatok_Korr'!N61</f>
        <v>51561</v>
      </c>
      <c r="AZ486" s="282">
        <f>'[15]2019. II. Állomány adatok'!N59</f>
        <v>50785</v>
      </c>
      <c r="BA486" s="282">
        <f>'[15]2019. III. Állomány adatok'!N59</f>
        <v>47768</v>
      </c>
      <c r="BB486" s="282">
        <f>'[15]2019. IV. Állomány adatok'!N59</f>
        <v>50481</v>
      </c>
      <c r="BC486" s="282">
        <f>'[15]2020. I. Állomány adatok'!N65</f>
        <v>55217</v>
      </c>
      <c r="BD486" s="282">
        <f>'[15]2020. II. Állományi adatok'!N65</f>
        <v>52295</v>
      </c>
      <c r="BE486" s="540">
        <f>'[15]2020. III. Állományi adatok'!N65</f>
        <v>51081</v>
      </c>
      <c r="BF486" s="282">
        <f>'[15]2020. IV. Állományi adatok'!N65</f>
        <v>48635</v>
      </c>
      <c r="BG486" s="628">
        <f>'[15]2021. I. Állományi adatok'!N65</f>
        <v>41082</v>
      </c>
    </row>
    <row r="487" spans="37:61" x14ac:dyDescent="0.25">
      <c r="AK487" s="510" t="s">
        <v>50</v>
      </c>
      <c r="AL487" s="245">
        <f>AL485/AL489*100</f>
        <v>10.987272310991225</v>
      </c>
      <c r="AM487" s="220">
        <f t="shared" ref="AM487:AY487" si="403">AM485/AM489*100</f>
        <v>8.174338865162694</v>
      </c>
      <c r="AN487" s="220">
        <f t="shared" si="403"/>
        <v>10.30927321174083</v>
      </c>
      <c r="AO487" s="220">
        <f t="shared" si="403"/>
        <v>11.18184458042108</v>
      </c>
      <c r="AP487" s="220">
        <f t="shared" si="403"/>
        <v>9.7707960971756549</v>
      </c>
      <c r="AQ487" s="220">
        <f t="shared" si="403"/>
        <v>13.359095496876778</v>
      </c>
      <c r="AR487" s="220">
        <f t="shared" si="403"/>
        <v>15.101419115007586</v>
      </c>
      <c r="AS487" s="220">
        <f t="shared" si="403"/>
        <v>14.603810486691582</v>
      </c>
      <c r="AT487" s="220">
        <f t="shared" si="403"/>
        <v>11.943808933267764</v>
      </c>
      <c r="AU487" s="220">
        <f t="shared" si="403"/>
        <v>11.868397607229223</v>
      </c>
      <c r="AV487" s="220">
        <f t="shared" si="403"/>
        <v>9.4590157205598651</v>
      </c>
      <c r="AW487" s="288">
        <f t="shared" si="403"/>
        <v>12.394728633811605</v>
      </c>
      <c r="AX487" s="220">
        <f t="shared" si="403"/>
        <v>12.977229926382469</v>
      </c>
      <c r="AY487" s="220">
        <f t="shared" si="403"/>
        <v>9.8489352029933208</v>
      </c>
      <c r="AZ487" s="220">
        <f>AZ485/AZ489*100</f>
        <v>7.7877038166830088</v>
      </c>
      <c r="BA487" s="220">
        <f>BA485/BA489*100</f>
        <v>11.591493772093798</v>
      </c>
      <c r="BB487" s="220">
        <f>BB485/BB489*100</f>
        <v>11.40731120899949</v>
      </c>
      <c r="BC487" s="220">
        <f t="shared" ref="BC487:BG487" si="404">BC485/BC489*100</f>
        <v>9.3287135866530928</v>
      </c>
      <c r="BD487" s="220">
        <f t="shared" si="404"/>
        <v>8.7363222282333641</v>
      </c>
      <c r="BE487" s="220">
        <f t="shared" si="404"/>
        <v>8.0201674619609253</v>
      </c>
      <c r="BF487" s="220">
        <f t="shared" si="404"/>
        <v>8.7369349421103006</v>
      </c>
      <c r="BG487" s="220">
        <f t="shared" si="404"/>
        <v>9.4431953445311461</v>
      </c>
      <c r="BH487" s="1"/>
    </row>
    <row r="488" spans="37:61" ht="15.75" thickBot="1" x14ac:dyDescent="0.3">
      <c r="AK488" s="290" t="s">
        <v>502</v>
      </c>
      <c r="AL488" s="365">
        <f>AL486/AL489*100</f>
        <v>89.01272768900877</v>
      </c>
      <c r="AM488" s="292">
        <f t="shared" ref="AM488:AY488" si="405">AM486/AM489*100</f>
        <v>91.825661134837304</v>
      </c>
      <c r="AN488" s="292">
        <f t="shared" si="405"/>
        <v>89.690726788259155</v>
      </c>
      <c r="AO488" s="292">
        <f t="shared" si="405"/>
        <v>88.818155419578929</v>
      </c>
      <c r="AP488" s="292">
        <f t="shared" si="405"/>
        <v>90.229203902824338</v>
      </c>
      <c r="AQ488" s="292">
        <f t="shared" si="405"/>
        <v>86.640904503123224</v>
      </c>
      <c r="AR488" s="292">
        <f t="shared" si="405"/>
        <v>84.898580884992413</v>
      </c>
      <c r="AS488" s="292">
        <f t="shared" si="405"/>
        <v>85.396189513308414</v>
      </c>
      <c r="AT488" s="292">
        <f t="shared" si="405"/>
        <v>88.056191066732239</v>
      </c>
      <c r="AU488" s="292">
        <f t="shared" si="405"/>
        <v>88.131602392770787</v>
      </c>
      <c r="AV488" s="292">
        <f t="shared" si="405"/>
        <v>90.540984279440138</v>
      </c>
      <c r="AW488" s="293">
        <f t="shared" si="405"/>
        <v>87.605271366188404</v>
      </c>
      <c r="AX488" s="292">
        <f t="shared" si="405"/>
        <v>87.022770073617522</v>
      </c>
      <c r="AY488" s="292">
        <f t="shared" si="405"/>
        <v>90.151064797006669</v>
      </c>
      <c r="AZ488" s="292">
        <f>AZ486/AZ489*100</f>
        <v>92.212296183316994</v>
      </c>
      <c r="BA488" s="292">
        <f>BA486/BA489*100</f>
        <v>88.408506227906202</v>
      </c>
      <c r="BB488" s="292">
        <f>BB486/BB489*100</f>
        <v>88.592688791000512</v>
      </c>
      <c r="BC488" s="292">
        <f t="shared" ref="BC488:BG488" si="406">BC486/BC489*100</f>
        <v>90.671286413346905</v>
      </c>
      <c r="BD488" s="292">
        <f t="shared" si="406"/>
        <v>91.263677771766638</v>
      </c>
      <c r="BE488" s="292">
        <f t="shared" si="406"/>
        <v>91.979832538039076</v>
      </c>
      <c r="BF488" s="292">
        <f t="shared" si="406"/>
        <v>91.263065057889705</v>
      </c>
      <c r="BG488" s="292">
        <f t="shared" si="406"/>
        <v>90.556804655468852</v>
      </c>
    </row>
    <row r="489" spans="37:61" x14ac:dyDescent="0.25">
      <c r="AK489" s="610" t="s">
        <v>497</v>
      </c>
      <c r="AL489" s="370">
        <f t="shared" ref="AL489:AW489" si="407">AL485+AL486</f>
        <v>31364.4682294136</v>
      </c>
      <c r="AM489" s="371">
        <f t="shared" si="407"/>
        <v>29334.7917495744</v>
      </c>
      <c r="AN489" s="371">
        <f t="shared" si="407"/>
        <v>34171.752126890504</v>
      </c>
      <c r="AO489" s="371">
        <f t="shared" si="407"/>
        <v>37660.666088791397</v>
      </c>
      <c r="AP489" s="371">
        <f t="shared" si="407"/>
        <v>41140.142770372004</v>
      </c>
      <c r="AQ489" s="371">
        <f t="shared" si="407"/>
        <v>41996.4894526852</v>
      </c>
      <c r="AR489" s="371">
        <f t="shared" si="407"/>
        <v>46769.623705370897</v>
      </c>
      <c r="AS489" s="371">
        <f t="shared" si="407"/>
        <v>45909.137999974591</v>
      </c>
      <c r="AT489" s="371">
        <f t="shared" si="407"/>
        <v>46769</v>
      </c>
      <c r="AU489" s="371">
        <f t="shared" si="407"/>
        <v>47142</v>
      </c>
      <c r="AV489" s="371">
        <f t="shared" si="407"/>
        <v>48726</v>
      </c>
      <c r="AW489" s="372">
        <f t="shared" si="407"/>
        <v>51296</v>
      </c>
      <c r="AX489" s="371">
        <f>AX485+AX486</f>
        <v>52569</v>
      </c>
      <c r="AY489" s="371">
        <f>AY485+AY486</f>
        <v>57194</v>
      </c>
      <c r="AZ489" s="371">
        <f>AZ485+AZ486</f>
        <v>55074</v>
      </c>
      <c r="BA489" s="371">
        <f>BA485+BA486</f>
        <v>54031</v>
      </c>
      <c r="BB489" s="371">
        <f>BB485+BB486</f>
        <v>56981</v>
      </c>
      <c r="BC489" s="371">
        <f t="shared" ref="BC489:BG489" si="408">BC485+BC486</f>
        <v>60898</v>
      </c>
      <c r="BD489" s="371">
        <f t="shared" si="408"/>
        <v>57301</v>
      </c>
      <c r="BE489" s="371">
        <f t="shared" si="408"/>
        <v>55535</v>
      </c>
      <c r="BF489" s="371">
        <f t="shared" si="408"/>
        <v>53291</v>
      </c>
      <c r="BG489" s="371">
        <f t="shared" si="408"/>
        <v>45366</v>
      </c>
      <c r="BH489" s="1">
        <f>BG489+BG508</f>
        <v>285349</v>
      </c>
      <c r="BI489" s="631">
        <f>BG489/BH489*100</f>
        <v>15.898426137817198</v>
      </c>
    </row>
    <row r="490" spans="37:61" x14ac:dyDescent="0.25">
      <c r="AK490" s="448" t="s">
        <v>519</v>
      </c>
      <c r="AL490" s="248">
        <f t="shared" ref="AL490:AY490" si="409">AL489/AL491*100</f>
        <v>7.1083327202575974</v>
      </c>
      <c r="AM490" s="223">
        <f t="shared" si="409"/>
        <v>6.4003620947748088</v>
      </c>
      <c r="AN490" s="223">
        <f t="shared" si="409"/>
        <v>6.716498192653245</v>
      </c>
      <c r="AO490" s="223">
        <f t="shared" si="409"/>
        <v>6.6863133693985155</v>
      </c>
      <c r="AP490" s="223">
        <f t="shared" si="409"/>
        <v>6.7995748360520736</v>
      </c>
      <c r="AQ490" s="223">
        <f t="shared" si="409"/>
        <v>6.7466401639031215</v>
      </c>
      <c r="AR490" s="223">
        <f t="shared" si="409"/>
        <v>7.2542015773810089</v>
      </c>
      <c r="AS490" s="223">
        <f t="shared" si="409"/>
        <v>7.5179672387643182</v>
      </c>
      <c r="AT490" s="223">
        <f t="shared" si="409"/>
        <v>8.0585078998482178</v>
      </c>
      <c r="AU490" s="223">
        <f t="shared" si="409"/>
        <v>7.614343561274775</v>
      </c>
      <c r="AV490" s="223">
        <f t="shared" si="409"/>
        <v>7.5578401384812963</v>
      </c>
      <c r="AW490" s="223">
        <f t="shared" si="409"/>
        <v>7.6858993952688328</v>
      </c>
      <c r="AX490" s="223">
        <f t="shared" si="409"/>
        <v>8.4184482344463127</v>
      </c>
      <c r="AY490" s="223">
        <f t="shared" si="409"/>
        <v>8.3548312643705014</v>
      </c>
      <c r="AZ490" s="223">
        <f>AZ489/AZ491*100</f>
        <v>7.6215069477022972</v>
      </c>
      <c r="BA490" s="223">
        <f>BA489/BA491*100</f>
        <v>7.237745423078108</v>
      </c>
      <c r="BB490" s="223">
        <f>BB489/BB491*100</f>
        <v>7.8178572751582269</v>
      </c>
      <c r="BC490" s="223">
        <f t="shared" ref="BC490:BG490" si="410">BC489/BC491*100</f>
        <v>8.3065524605955385</v>
      </c>
      <c r="BD490" s="223">
        <f t="shared" si="410"/>
        <v>7.3876814817393361</v>
      </c>
      <c r="BE490" s="223">
        <f t="shared" si="410"/>
        <v>6.8349591514730825</v>
      </c>
      <c r="BF490" s="223">
        <f t="shared" si="410"/>
        <v>6.5393908381528076</v>
      </c>
      <c r="BG490" s="223">
        <f t="shared" si="410"/>
        <v>5.5700094171785546</v>
      </c>
      <c r="BI490" s="631">
        <f>BG508/BH489*100</f>
        <v>84.101573862182804</v>
      </c>
    </row>
    <row r="491" spans="37:61" ht="15.75" thickBot="1" x14ac:dyDescent="0.3">
      <c r="AK491" s="610" t="s">
        <v>36</v>
      </c>
      <c r="AL491" s="387">
        <f>AL452+AL489</f>
        <v>441235.23002841359</v>
      </c>
      <c r="AM491" s="388">
        <f t="shared" ref="AM491:AT491" si="411">AM452+AM489</f>
        <v>458330.18999851635</v>
      </c>
      <c r="AN491" s="388">
        <f t="shared" si="411"/>
        <v>508773.33912289055</v>
      </c>
      <c r="AO491" s="388">
        <f>AO452+AO489</f>
        <v>563250.0902687913</v>
      </c>
      <c r="AP491" s="388">
        <f t="shared" si="411"/>
        <v>605039.92914737202</v>
      </c>
      <c r="AQ491" s="388">
        <f t="shared" si="411"/>
        <v>622480.05573768518</v>
      </c>
      <c r="AR491" s="388">
        <f t="shared" si="411"/>
        <v>644724.62208937097</v>
      </c>
      <c r="AS491" s="388">
        <f t="shared" si="411"/>
        <v>610658.92603597452</v>
      </c>
      <c r="AT491" s="388">
        <f t="shared" si="411"/>
        <v>580367.98600000003</v>
      </c>
      <c r="AU491" s="388">
        <v>619121</v>
      </c>
      <c r="AV491" s="388">
        <v>644708</v>
      </c>
      <c r="AW491" s="389">
        <v>667404</v>
      </c>
      <c r="AX491" s="388">
        <v>624450</v>
      </c>
      <c r="AY491" s="388">
        <v>684562</v>
      </c>
      <c r="AZ491" s="388">
        <v>722613</v>
      </c>
      <c r="BA491" s="388">
        <v>746517</v>
      </c>
      <c r="BB491" s="388">
        <v>728857</v>
      </c>
      <c r="BC491" s="388">
        <v>733132.07</v>
      </c>
      <c r="BD491" s="388">
        <v>775629</v>
      </c>
      <c r="BE491" s="388">
        <v>812514</v>
      </c>
      <c r="BF491" s="388">
        <v>814923</v>
      </c>
      <c r="BG491" s="633">
        <v>814469</v>
      </c>
    </row>
    <row r="492" spans="37:61" x14ac:dyDescent="0.25">
      <c r="AK492" s="25" t="s">
        <v>520</v>
      </c>
      <c r="AL492" s="398">
        <v>0</v>
      </c>
      <c r="AM492" s="232">
        <f>AM489/AL489*100-100</f>
        <v>-6.471260615653506</v>
      </c>
      <c r="AN492" s="232">
        <f t="shared" ref="AN492:AY492" si="412">AN489/AM489*100-100</f>
        <v>16.488817846768185</v>
      </c>
      <c r="AO492" s="232">
        <f t="shared" si="412"/>
        <v>10.209935823441114</v>
      </c>
      <c r="AP492" s="232">
        <f t="shared" si="412"/>
        <v>9.239020556293795</v>
      </c>
      <c r="AQ492" s="232">
        <f t="shared" si="412"/>
        <v>2.0815355140913994</v>
      </c>
      <c r="AR492" s="232">
        <f t="shared" si="412"/>
        <v>11.365555347342266</v>
      </c>
      <c r="AS492" s="232">
        <f t="shared" si="412"/>
        <v>-1.8398388467202693</v>
      </c>
      <c r="AT492" s="232">
        <f t="shared" si="412"/>
        <v>1.872964811549906</v>
      </c>
      <c r="AU492" s="232">
        <f t="shared" si="412"/>
        <v>0.79753682995146846</v>
      </c>
      <c r="AV492" s="232">
        <f t="shared" si="412"/>
        <v>3.3600610920198477</v>
      </c>
      <c r="AW492" s="550">
        <f t="shared" si="412"/>
        <v>5.2743914953002502</v>
      </c>
      <c r="AX492" s="232">
        <f t="shared" si="412"/>
        <v>2.4816749844042363</v>
      </c>
      <c r="AY492" s="232">
        <f t="shared" si="412"/>
        <v>8.7979607753619007</v>
      </c>
      <c r="AZ492" s="232">
        <f>AZ489/AX489*100-100</f>
        <v>4.7651657821149485</v>
      </c>
      <c r="BA492" s="232">
        <f>BA489/AZ489*100-100</f>
        <v>-1.8938155935650229</v>
      </c>
      <c r="BB492" s="232">
        <f>BB489/BA489*100-100</f>
        <v>5.4598286169050994</v>
      </c>
      <c r="BC492" s="232">
        <f t="shared" ref="BC492:BD492" si="413">BC489/BB489*100-100</f>
        <v>6.8742212316386144</v>
      </c>
      <c r="BD492" s="232">
        <f t="shared" si="413"/>
        <v>-5.9065979178298136</v>
      </c>
      <c r="BE492" s="232">
        <f>BE489/BD489*100-100</f>
        <v>-3.0819706462365417</v>
      </c>
      <c r="BF492" s="232">
        <f>BF489/BE489*100-100</f>
        <v>-4.0406950571711491</v>
      </c>
      <c r="BG492" s="232">
        <f>BG489/BF489*100-100</f>
        <v>-14.871178998329924</v>
      </c>
    </row>
    <row r="493" spans="37:61" x14ac:dyDescent="0.25">
      <c r="AK493" s="15" t="s">
        <v>312</v>
      </c>
      <c r="AL493" s="13">
        <f>AL485/AL491*100</f>
        <v>0.78101187274599237</v>
      </c>
      <c r="AM493" s="458">
        <f t="shared" ref="AM493:AW493" si="414">AM485/AM491*100</f>
        <v>0.52318728622431843</v>
      </c>
      <c r="AN493" s="458">
        <f t="shared" si="414"/>
        <v>0.69242214894225795</v>
      </c>
      <c r="AO493" s="458">
        <f t="shared" si="414"/>
        <v>0.74765316912605795</v>
      </c>
      <c r="AP493" s="458">
        <f t="shared" si="414"/>
        <v>0.66437259270551396</v>
      </c>
      <c r="AQ493" s="458">
        <f t="shared" si="414"/>
        <v>0.90129010232646201</v>
      </c>
      <c r="AR493" s="458">
        <f t="shared" si="414"/>
        <v>1.0954873836477976</v>
      </c>
      <c r="AS493" s="458">
        <f t="shared" si="414"/>
        <v>1.0979096880007011</v>
      </c>
      <c r="AT493" s="458">
        <f t="shared" si="414"/>
        <v>0.96249278643015979</v>
      </c>
      <c r="AU493" s="458">
        <f t="shared" si="414"/>
        <v>0.90370056903254781</v>
      </c>
      <c r="AV493" s="458">
        <f t="shared" si="414"/>
        <v>0.71489728683372933</v>
      </c>
      <c r="AW493" s="459">
        <f t="shared" si="414"/>
        <v>0.95264637311133893</v>
      </c>
      <c r="AX493" s="14">
        <f>AX485/AX491*100</f>
        <v>1.0924813836175835</v>
      </c>
      <c r="AY493" s="14">
        <f>AY485/AY491*100</f>
        <v>0.82286191754727833</v>
      </c>
      <c r="AZ493" s="14">
        <f>AZ485/AZ491*100</f>
        <v>0.5935403874549724</v>
      </c>
      <c r="BA493" s="14">
        <f>BA485/BA491*100</f>
        <v>0.83896280995610273</v>
      </c>
      <c r="BB493" s="14">
        <f>BB485/BB491*100</f>
        <v>0.89180730925270657</v>
      </c>
      <c r="BC493" s="14">
        <f t="shared" ref="BC493:BD493" si="415">BC485/BC491*100</f>
        <v>0.7748944879740427</v>
      </c>
      <c r="BD493" s="14">
        <f t="shared" si="415"/>
        <v>0.64541165944027368</v>
      </c>
      <c r="BE493" s="14">
        <f>BE485/BE491*100</f>
        <v>0.54817516990476467</v>
      </c>
      <c r="BF493" s="14">
        <f>BF485/BF491*100</f>
        <v>0.57134232313973221</v>
      </c>
      <c r="BG493" s="14">
        <f>BG485/BG491*100</f>
        <v>0.52598686997295174</v>
      </c>
    </row>
    <row r="494" spans="37:61" ht="15.75" thickBot="1" x14ac:dyDescent="0.3">
      <c r="AK494" s="15" t="s">
        <v>313</v>
      </c>
      <c r="AL494" s="402">
        <f>AL486/AL491*100</f>
        <v>6.3273208475116052</v>
      </c>
      <c r="AM494" s="501">
        <f t="shared" ref="AM494:AW494" si="416">AM486/AM491*100</f>
        <v>5.8771748085504898</v>
      </c>
      <c r="AN494" s="501">
        <f t="shared" si="416"/>
        <v>6.024076043710985</v>
      </c>
      <c r="AO494" s="501">
        <f t="shared" si="416"/>
        <v>5.9386602002724578</v>
      </c>
      <c r="AP494" s="501">
        <f t="shared" si="416"/>
        <v>6.1352022433465594</v>
      </c>
      <c r="AQ494" s="501">
        <f t="shared" si="416"/>
        <v>5.8453500615766592</v>
      </c>
      <c r="AR494" s="501">
        <f t="shared" si="416"/>
        <v>6.1587141937332115</v>
      </c>
      <c r="AS494" s="501">
        <f t="shared" si="416"/>
        <v>6.4200575507636168</v>
      </c>
      <c r="AT494" s="501">
        <f t="shared" si="416"/>
        <v>7.0960151134180585</v>
      </c>
      <c r="AU494" s="501">
        <f t="shared" si="416"/>
        <v>6.710642992242227</v>
      </c>
      <c r="AV494" s="501">
        <f t="shared" si="416"/>
        <v>6.8429428516475683</v>
      </c>
      <c r="AW494" s="612">
        <f t="shared" si="416"/>
        <v>6.733253022157494</v>
      </c>
      <c r="AX494" s="403">
        <f>AX486/AX491*100</f>
        <v>7.3259668508287286</v>
      </c>
      <c r="AY494" s="403">
        <f>AY486/AY491*100</f>
        <v>7.5319693468232236</v>
      </c>
      <c r="AZ494" s="403">
        <f>AZ486/AZ491*100</f>
        <v>7.0279665602473242</v>
      </c>
      <c r="BA494" s="403">
        <f>BA486/BA491*100</f>
        <v>6.3987826131220045</v>
      </c>
      <c r="BB494" s="403">
        <f>BB486/BB491*100</f>
        <v>6.9260499659055199</v>
      </c>
      <c r="BC494" s="403">
        <f t="shared" ref="BC494:BD494" si="417">BC486/BC491*100</f>
        <v>7.5316579726214954</v>
      </c>
      <c r="BD494" s="403">
        <f t="shared" si="417"/>
        <v>6.7422698222990629</v>
      </c>
      <c r="BE494" s="403">
        <f>BE486/BE491*100</f>
        <v>6.286783981568318</v>
      </c>
      <c r="BF494" s="403">
        <f>BF486/BF491*100</f>
        <v>5.9680485150130744</v>
      </c>
      <c r="BG494" s="403">
        <f>BG486/BG491*100</f>
        <v>5.0440225472056026</v>
      </c>
    </row>
    <row r="495" spans="37:61" ht="15.75" thickBot="1" x14ac:dyDescent="0.3">
      <c r="AK495" s="12" t="s">
        <v>26</v>
      </c>
      <c r="AL495" s="464">
        <f>AL491+AL510</f>
        <v>825056.05331170675</v>
      </c>
      <c r="AM495" s="465">
        <f t="shared" ref="AM495:AT495" si="418">AM491+AM510</f>
        <v>848204.67131698679</v>
      </c>
      <c r="AN495" s="465">
        <f t="shared" si="418"/>
        <v>924695.05832445691</v>
      </c>
      <c r="AO495" s="465">
        <f t="shared" si="418"/>
        <v>985514.35667164205</v>
      </c>
      <c r="AP495" s="465">
        <f t="shared" si="418"/>
        <v>997790.18314703007</v>
      </c>
      <c r="AQ495" s="465">
        <f t="shared" si="418"/>
        <v>1005984.6305548277</v>
      </c>
      <c r="AR495" s="465">
        <f t="shared" si="418"/>
        <v>1073237.7531349021</v>
      </c>
      <c r="AS495" s="465">
        <f t="shared" si="418"/>
        <v>1070624.2192326742</v>
      </c>
      <c r="AT495" s="465">
        <f t="shared" si="418"/>
        <v>1030759.5160000001</v>
      </c>
      <c r="AU495" s="465">
        <v>1072544</v>
      </c>
      <c r="AV495" s="465">
        <v>1109892</v>
      </c>
      <c r="AW495" s="465">
        <v>1163376</v>
      </c>
      <c r="AX495" s="465">
        <v>1129593</v>
      </c>
      <c r="AY495" s="465">
        <v>1205011</v>
      </c>
      <c r="AZ495" s="465">
        <v>1233423</v>
      </c>
      <c r="BA495" s="465">
        <v>1292983</v>
      </c>
      <c r="BB495" s="465">
        <v>1273745</v>
      </c>
      <c r="BC495" s="465">
        <v>1292276.71</v>
      </c>
      <c r="BD495" s="465">
        <v>1306049</v>
      </c>
      <c r="BE495" s="482">
        <v>1405757</v>
      </c>
      <c r="BF495" s="465">
        <v>1431391</v>
      </c>
      <c r="BG495" s="636">
        <v>1435198</v>
      </c>
    </row>
    <row r="496" spans="37:61" ht="15.75" thickBot="1" x14ac:dyDescent="0.3">
      <c r="AK496" s="639" t="s">
        <v>500</v>
      </c>
      <c r="AL496" s="640">
        <f>AL489/AL491*100</f>
        <v>7.1083327202575974</v>
      </c>
      <c r="AM496" s="641">
        <f t="shared" ref="AM496:AW496" si="419">AM489/AM491*100</f>
        <v>6.4003620947748088</v>
      </c>
      <c r="AN496" s="641">
        <f t="shared" si="419"/>
        <v>6.716498192653245</v>
      </c>
      <c r="AO496" s="641">
        <f t="shared" si="419"/>
        <v>6.6863133693985155</v>
      </c>
      <c r="AP496" s="641">
        <f t="shared" si="419"/>
        <v>6.7995748360520736</v>
      </c>
      <c r="AQ496" s="641">
        <f t="shared" si="419"/>
        <v>6.7466401639031215</v>
      </c>
      <c r="AR496" s="641">
        <f t="shared" si="419"/>
        <v>7.2542015773810089</v>
      </c>
      <c r="AS496" s="641">
        <f t="shared" si="419"/>
        <v>7.5179672387643182</v>
      </c>
      <c r="AT496" s="641">
        <f t="shared" si="419"/>
        <v>8.0585078998482178</v>
      </c>
      <c r="AU496" s="641">
        <f t="shared" si="419"/>
        <v>7.614343561274775</v>
      </c>
      <c r="AV496" s="641">
        <f t="shared" si="419"/>
        <v>7.5578401384812963</v>
      </c>
      <c r="AW496" s="641">
        <f t="shared" si="419"/>
        <v>7.6858993952688328</v>
      </c>
      <c r="AX496" s="641">
        <f>AX489/AX491*100</f>
        <v>8.4184482344463127</v>
      </c>
      <c r="AY496" s="641">
        <f>AY489/AY491*100</f>
        <v>8.3548312643705014</v>
      </c>
      <c r="AZ496" s="641">
        <f>AZ489/AZ491*100</f>
        <v>7.6215069477022972</v>
      </c>
      <c r="BA496" s="641">
        <f>BA489/BA491*100</f>
        <v>7.237745423078108</v>
      </c>
      <c r="BB496" s="641">
        <f>BB489/BB491*100</f>
        <v>7.8178572751582269</v>
      </c>
      <c r="BC496" s="641">
        <f t="shared" ref="BC496:BG496" si="420">BC489/BC491*100</f>
        <v>8.3065524605955385</v>
      </c>
      <c r="BD496" s="641">
        <f t="shared" si="420"/>
        <v>7.3876814817393361</v>
      </c>
      <c r="BE496" s="641">
        <f t="shared" si="420"/>
        <v>6.8349591514730825</v>
      </c>
      <c r="BF496" s="641">
        <f t="shared" si="420"/>
        <v>6.5393908381528076</v>
      </c>
      <c r="BG496" s="641">
        <f t="shared" si="420"/>
        <v>5.5700094171785546</v>
      </c>
    </row>
    <row r="497" spans="37:60" ht="15.75" thickBot="1" x14ac:dyDescent="0.3">
      <c r="AK497" s="336" t="s">
        <v>521</v>
      </c>
      <c r="AL497" s="613">
        <f t="shared" ref="AL497:AW497" si="421">AL489/AL495*100</f>
        <v>3.8014954382213451</v>
      </c>
      <c r="AM497" s="258">
        <f t="shared" si="421"/>
        <v>3.458456754786198</v>
      </c>
      <c r="AN497" s="258">
        <f t="shared" si="421"/>
        <v>3.6954617437676758</v>
      </c>
      <c r="AO497" s="258">
        <f t="shared" si="421"/>
        <v>3.8214223703429355</v>
      </c>
      <c r="AP497" s="258">
        <f t="shared" si="421"/>
        <v>4.1231256295402714</v>
      </c>
      <c r="AQ497" s="258">
        <f t="shared" si="421"/>
        <v>4.1746651168540216</v>
      </c>
      <c r="AR497" s="258">
        <f t="shared" si="421"/>
        <v>4.3578064197572184</v>
      </c>
      <c r="AS497" s="258">
        <f t="shared" si="421"/>
        <v>4.2880720588292007</v>
      </c>
      <c r="AT497" s="258">
        <f t="shared" si="421"/>
        <v>4.5373338081314403</v>
      </c>
      <c r="AU497" s="258">
        <f t="shared" si="421"/>
        <v>4.3953441537130411</v>
      </c>
      <c r="AV497" s="258">
        <f t="shared" si="421"/>
        <v>4.3901568801288775</v>
      </c>
      <c r="AW497" s="258">
        <f t="shared" si="421"/>
        <v>4.4092365666817948</v>
      </c>
      <c r="AX497" s="258">
        <f>AX489/AX495*100</f>
        <v>4.6538000855175277</v>
      </c>
      <c r="AY497" s="258">
        <f>AY489/AY495*100</f>
        <v>4.7463467138474256</v>
      </c>
      <c r="AZ497" s="258">
        <f>AZ489/AZ495*100</f>
        <v>4.4651348320892348</v>
      </c>
      <c r="BA497" s="258">
        <f>BA489/BA495*100</f>
        <v>4.1787865733733547</v>
      </c>
      <c r="BB497" s="258">
        <f>BB489/BB495*100</f>
        <v>4.4735013680132214</v>
      </c>
      <c r="BC497" s="258">
        <f t="shared" ref="BC497:BG497" si="422">BC489/BC495*100</f>
        <v>4.7124582164759437</v>
      </c>
      <c r="BD497" s="258">
        <f t="shared" si="422"/>
        <v>4.387354532640046</v>
      </c>
      <c r="BE497" s="258">
        <f t="shared" si="422"/>
        <v>3.9505405272746286</v>
      </c>
      <c r="BF497" s="258">
        <f t="shared" si="422"/>
        <v>3.7230218717317634</v>
      </c>
      <c r="BG497" s="258">
        <f t="shared" si="422"/>
        <v>3.1609575821593952</v>
      </c>
    </row>
    <row r="500" spans="37:60" ht="15.75" thickBot="1" x14ac:dyDescent="0.3"/>
    <row r="501" spans="37:60" ht="19.5" thickBot="1" x14ac:dyDescent="0.35">
      <c r="AK501" s="1112" t="s">
        <v>522</v>
      </c>
      <c r="AL501" s="1113"/>
      <c r="AM501" s="1113"/>
      <c r="AN501" s="1113"/>
      <c r="AO501" s="1113"/>
      <c r="AP501" s="1113"/>
      <c r="AQ501" s="1113"/>
      <c r="AR501" s="1113"/>
      <c r="AS501" s="1113"/>
      <c r="AT501" s="1113"/>
      <c r="AU501" s="1113"/>
      <c r="AV501" s="1113"/>
      <c r="AW501" s="1113"/>
      <c r="AX501" s="1113"/>
      <c r="AY501" s="1113"/>
      <c r="AZ501" s="1113"/>
      <c r="BA501" s="1113"/>
      <c r="BB501" s="1113"/>
      <c r="BC501" s="1113"/>
      <c r="BD501" s="1113"/>
      <c r="BE501" s="1113"/>
      <c r="BF501" s="1113"/>
      <c r="BG501" s="1114"/>
    </row>
    <row r="502" spans="37:60" ht="15.75" thickBot="1" x14ac:dyDescent="0.3"/>
    <row r="503" spans="37:60" ht="15.75" thickBot="1" x14ac:dyDescent="0.3">
      <c r="AK503" s="525" t="s">
        <v>522</v>
      </c>
      <c r="AL503" s="77" t="s">
        <v>0</v>
      </c>
      <c r="AM503" s="31" t="s">
        <v>1</v>
      </c>
      <c r="AN503" s="31" t="s">
        <v>2</v>
      </c>
      <c r="AO503" s="31" t="s">
        <v>3</v>
      </c>
      <c r="AP503" s="31" t="s">
        <v>4</v>
      </c>
      <c r="AQ503" s="31" t="s">
        <v>5</v>
      </c>
      <c r="AR503" s="31" t="s">
        <v>6</v>
      </c>
      <c r="AS503" s="31" t="s">
        <v>7</v>
      </c>
      <c r="AT503" s="31" t="s">
        <v>27</v>
      </c>
      <c r="AU503" s="31" t="s">
        <v>9</v>
      </c>
      <c r="AV503" s="31" t="s">
        <v>10</v>
      </c>
      <c r="AW503" s="31" t="s">
        <v>11</v>
      </c>
      <c r="AX503" s="31" t="s">
        <v>12</v>
      </c>
      <c r="AY503" s="31" t="s">
        <v>13</v>
      </c>
      <c r="AZ503" s="31" t="s">
        <v>14</v>
      </c>
      <c r="BA503" s="31" t="s">
        <v>15</v>
      </c>
      <c r="BB503" s="31" t="s">
        <v>16</v>
      </c>
      <c r="BC503" s="31" t="s">
        <v>17</v>
      </c>
      <c r="BD503" s="31" t="s">
        <v>18</v>
      </c>
      <c r="BE503" s="526" t="s">
        <v>300</v>
      </c>
      <c r="BF503" s="31" t="s">
        <v>203</v>
      </c>
      <c r="BG503" s="509" t="s">
        <v>201</v>
      </c>
    </row>
    <row r="504" spans="37:60" x14ac:dyDescent="0.25">
      <c r="AK504" s="279" t="s">
        <v>34</v>
      </c>
      <c r="AL504" s="539">
        <f>'[15]2016. I. - Állományi'!L38</f>
        <v>125</v>
      </c>
      <c r="AM504" s="359">
        <f>'[15]2016. II. - Állományi'!L38</f>
        <v>128.99600000000001</v>
      </c>
      <c r="AN504" s="359">
        <f>'[15]2016. III. - Állományi'!L38</f>
        <v>110</v>
      </c>
      <c r="AO504" s="359">
        <f>'[15]2016. IV.- Állományi'!L38</f>
        <v>58</v>
      </c>
      <c r="AP504" s="359">
        <f>'[15]2017. I. - Állományi'!L38</f>
        <v>56</v>
      </c>
      <c r="AQ504" s="359">
        <f>'[15]2017. II. - Állományi'!L38</f>
        <v>182</v>
      </c>
      <c r="AR504" s="359">
        <f>'[15]2017. III. - Állományi'!L38</f>
        <v>103</v>
      </c>
      <c r="AS504" s="359">
        <f>'[15]2017. IV. - Állományi'!L38</f>
        <v>25</v>
      </c>
      <c r="AT504" s="359">
        <f>'[15]2018. I. - Állományi_R'!L39</f>
        <v>1254</v>
      </c>
      <c r="AU504" s="359">
        <f>'[15]2018. I. - Állományi_Új'!L29</f>
        <v>1254</v>
      </c>
      <c r="AV504" s="359">
        <f>'[15]2018. II. - Állományi_Új'!L29</f>
        <v>22</v>
      </c>
      <c r="AW504" s="360">
        <f>'[15]2018. III. - Állományi_Új'!L29</f>
        <v>22</v>
      </c>
      <c r="AX504" s="359">
        <f>'[15]2018. IV. - Állományi_Új'!L29</f>
        <v>45</v>
      </c>
      <c r="AY504" s="359">
        <f>'[15]2019. I. Állomány adatok_Korr'!N34</f>
        <v>21</v>
      </c>
      <c r="AZ504" s="359">
        <f>'[15]2019. II. Állomány adatok'!N32</f>
        <v>3</v>
      </c>
      <c r="BA504" s="359">
        <f>'[15]2019. III. Állomány adatok'!N32</f>
        <v>3</v>
      </c>
      <c r="BB504" s="359">
        <f>'[15]2019. IV. Állomány adatok'!N32</f>
        <v>3</v>
      </c>
      <c r="BC504" s="359">
        <f>'[15]2020. I. Állomány adatok'!N34</f>
        <v>3</v>
      </c>
      <c r="BD504" s="359">
        <f>'[15]2020. II. Állományi adatok'!N34</f>
        <v>2</v>
      </c>
      <c r="BE504" s="539">
        <f>'[15]2020. III. Állományi adatok'!N34</f>
        <v>2</v>
      </c>
      <c r="BF504" s="359">
        <f>'[15]2020. IV. Állományi adatok'!N34</f>
        <v>2</v>
      </c>
      <c r="BG504" s="443">
        <f>'[15]2021. I. Állományi adatok'!N34</f>
        <v>2</v>
      </c>
    </row>
    <row r="505" spans="37:60" ht="15.75" thickBot="1" x14ac:dyDescent="0.3">
      <c r="AK505" s="361" t="s">
        <v>35</v>
      </c>
      <c r="AL505" s="540">
        <f>'[15]2016. I. - Állományi'!L67</f>
        <v>136308.62389929319</v>
      </c>
      <c r="AM505" s="282">
        <f>'[15]2016. II. - Állományi'!L67</f>
        <v>144187.86473847041</v>
      </c>
      <c r="AN505" s="282">
        <f>'[15]2016. III. - Állományi'!L67</f>
        <v>153587.68261956648</v>
      </c>
      <c r="AO505" s="282">
        <f>'[15]2016. IV.- Állományi'!L67</f>
        <v>154143.4885238508</v>
      </c>
      <c r="AP505" s="282">
        <f>'[15]2017. I. - Állományi'!L67</f>
        <v>150438.94876165802</v>
      </c>
      <c r="AQ505" s="282">
        <f>'[15]2017. II. - Állományi'!L67</f>
        <v>156051.1315921426</v>
      </c>
      <c r="AR505" s="282">
        <f>'[15]2017. III. - Állományi'!L67</f>
        <v>185007.34207353101</v>
      </c>
      <c r="AS505" s="282">
        <f>'[15]2017. IV. - Állományi'!L67</f>
        <v>191205.2476876998</v>
      </c>
      <c r="AT505" s="282">
        <f>'[15]2018. I. - Állományi_R'!L69</f>
        <v>191401</v>
      </c>
      <c r="AU505" s="282">
        <f>'[15]2018. I. - Állományi_Új'!L69</f>
        <v>191571</v>
      </c>
      <c r="AV505" s="282">
        <f>'[15]2018. II. - Állományi_Új'!L69</f>
        <v>206366</v>
      </c>
      <c r="AW505" s="283">
        <f>'[15]2018. II. - Állományi_Új'!L69</f>
        <v>206366</v>
      </c>
      <c r="AX505" s="282">
        <f>'[15]2018. IV. - Állományi_Új'!L69</f>
        <v>204064</v>
      </c>
      <c r="AY505" s="282">
        <f>'[15]2019. I. Állomány adatok_Korr'!N76</f>
        <v>216524</v>
      </c>
      <c r="AZ505" s="282">
        <f>'[15]2019. II. Állomány adatok'!N74</f>
        <v>224104</v>
      </c>
      <c r="BA505" s="282">
        <f>'[15]2019. III. Állomány adatok'!N74</f>
        <v>249593</v>
      </c>
      <c r="BB505" s="282">
        <f>'[15]2019. IV. Állomány adatok'!N74</f>
        <v>216836</v>
      </c>
      <c r="BC505" s="282">
        <f>'[15]2020. I. Állomány adatok'!N81</f>
        <v>237492</v>
      </c>
      <c r="BD505" s="282">
        <f>'[15]2020. II. Állományi adatok'!N81</f>
        <v>229981</v>
      </c>
      <c r="BE505" s="540">
        <f>'[15]2020. III. Állományi adatok'!N81</f>
        <v>248409</v>
      </c>
      <c r="BF505" s="282">
        <f>'[15]2020. IV. Állományi adatok'!N81</f>
        <v>248259</v>
      </c>
      <c r="BG505" s="445">
        <f>'[15]2021. I. Állományi adatok'!N81</f>
        <v>239981</v>
      </c>
    </row>
    <row r="506" spans="37:60" x14ac:dyDescent="0.25">
      <c r="AK506" s="510" t="s">
        <v>50</v>
      </c>
      <c r="AL506" s="245">
        <f>AL504/AL508*100</f>
        <v>9.1619643624116606E-2</v>
      </c>
      <c r="AM506" s="220">
        <f t="shared" ref="AM506:BD506" si="423">AM504/AM508*100</f>
        <v>8.9383873332559025E-2</v>
      </c>
      <c r="AN506" s="220">
        <f t="shared" si="423"/>
        <v>7.1569068658161053E-2</v>
      </c>
      <c r="AO506" s="220">
        <f t="shared" si="423"/>
        <v>3.7613125888229647E-2</v>
      </c>
      <c r="AP506" s="220">
        <f t="shared" si="423"/>
        <v>3.7210551225003816E-2</v>
      </c>
      <c r="AQ506" s="220">
        <f t="shared" si="423"/>
        <v>0.11649257628345028</v>
      </c>
      <c r="AR506" s="220">
        <f t="shared" si="423"/>
        <v>5.5642488067514637E-2</v>
      </c>
      <c r="AS506" s="220">
        <f t="shared" si="423"/>
        <v>1.3073245630486121E-2</v>
      </c>
      <c r="AT506" s="220">
        <f t="shared" si="423"/>
        <v>0.65090446653344058</v>
      </c>
      <c r="AU506" s="220">
        <f t="shared" si="423"/>
        <v>0.65033061065733178</v>
      </c>
      <c r="AV506" s="220">
        <f t="shared" si="423"/>
        <v>1.0659534469058278E-2</v>
      </c>
      <c r="AW506" s="288">
        <f t="shared" si="423"/>
        <v>1.0659534469058278E-2</v>
      </c>
      <c r="AX506" s="220">
        <f t="shared" si="423"/>
        <v>2.2047043491467792E-2</v>
      </c>
      <c r="AY506" s="220">
        <f t="shared" si="423"/>
        <v>9.6977533538063678E-3</v>
      </c>
      <c r="AZ506" s="220">
        <f t="shared" si="423"/>
        <v>1.3386462716470258E-3</v>
      </c>
      <c r="BA506" s="220">
        <f t="shared" si="423"/>
        <v>1.2019423388195324E-3</v>
      </c>
      <c r="BB506" s="220">
        <f t="shared" si="423"/>
        <v>1.3835149581025554E-3</v>
      </c>
      <c r="BC506" s="220">
        <f t="shared" si="423"/>
        <v>1.2631844880944861E-3</v>
      </c>
      <c r="BD506" s="220">
        <f t="shared" si="423"/>
        <v>8.6962949435393064E-4</v>
      </c>
      <c r="BE506" s="220">
        <f>BE504/BE508*100</f>
        <v>8.0511732572229099E-4</v>
      </c>
      <c r="BF506" s="220">
        <f>BF504/BF508*100</f>
        <v>8.0560377989293528E-4</v>
      </c>
      <c r="BG506" s="220">
        <f>BG504/BG508*100</f>
        <v>8.3339236529254162E-4</v>
      </c>
    </row>
    <row r="507" spans="37:60" ht="15.75" thickBot="1" x14ac:dyDescent="0.3">
      <c r="AK507" s="290" t="s">
        <v>502</v>
      </c>
      <c r="AL507" s="365">
        <f>AL505/AL508*100</f>
        <v>99.908380356375886</v>
      </c>
      <c r="AM507" s="292">
        <f t="shared" ref="AM507:BD507" si="424">AM505/AM508*100</f>
        <v>99.910616126667435</v>
      </c>
      <c r="AN507" s="292">
        <f t="shared" si="424"/>
        <v>99.928430931341836</v>
      </c>
      <c r="AO507" s="292">
        <f t="shared" si="424"/>
        <v>99.962386874111772</v>
      </c>
      <c r="AP507" s="292">
        <f t="shared" si="424"/>
        <v>99.962789448774998</v>
      </c>
      <c r="AQ507" s="292">
        <f t="shared" si="424"/>
        <v>99.883507423716537</v>
      </c>
      <c r="AR507" s="292">
        <f t="shared" si="424"/>
        <v>99.944357511932481</v>
      </c>
      <c r="AS507" s="292">
        <f t="shared" si="424"/>
        <v>99.986926754369506</v>
      </c>
      <c r="AT507" s="292">
        <f t="shared" si="424"/>
        <v>99.349095533466553</v>
      </c>
      <c r="AU507" s="292">
        <f t="shared" si="424"/>
        <v>99.349669389342665</v>
      </c>
      <c r="AV507" s="292">
        <f t="shared" si="424"/>
        <v>99.989340465530944</v>
      </c>
      <c r="AW507" s="293">
        <f t="shared" si="424"/>
        <v>99.989340465530944</v>
      </c>
      <c r="AX507" s="292">
        <f t="shared" si="424"/>
        <v>99.977952956508531</v>
      </c>
      <c r="AY507" s="292">
        <f t="shared" si="424"/>
        <v>99.990302246646195</v>
      </c>
      <c r="AZ507" s="292">
        <f t="shared" si="424"/>
        <v>99.998661353728352</v>
      </c>
      <c r="BA507" s="292">
        <f t="shared" si="424"/>
        <v>99.998798057661176</v>
      </c>
      <c r="BB507" s="292">
        <f t="shared" si="424"/>
        <v>99.998616485041907</v>
      </c>
      <c r="BC507" s="292">
        <f t="shared" si="424"/>
        <v>99.998736815511904</v>
      </c>
      <c r="BD507" s="292">
        <f t="shared" si="424"/>
        <v>99.999130370505654</v>
      </c>
      <c r="BE507" s="292">
        <f>BE505/BE508*100</f>
        <v>99.999194882674274</v>
      </c>
      <c r="BF507" s="292">
        <f>BF505/BF508*100</f>
        <v>99.999194396220105</v>
      </c>
      <c r="BG507" s="292">
        <f>BG505/BG508*100</f>
        <v>99.999166607634706</v>
      </c>
    </row>
    <row r="508" spans="37:60" x14ac:dyDescent="0.25">
      <c r="AK508" s="610" t="s">
        <v>506</v>
      </c>
      <c r="AL508" s="370">
        <f t="shared" ref="AL508:AY508" si="425">AL504+AL505</f>
        <v>136433.62389929319</v>
      </c>
      <c r="AM508" s="371">
        <f t="shared" si="425"/>
        <v>144316.86073847042</v>
      </c>
      <c r="AN508" s="371">
        <f t="shared" si="425"/>
        <v>153697.68261956648</v>
      </c>
      <c r="AO508" s="371">
        <f t="shared" si="425"/>
        <v>154201.4885238508</v>
      </c>
      <c r="AP508" s="371">
        <f t="shared" si="425"/>
        <v>150494.94876165802</v>
      </c>
      <c r="AQ508" s="371">
        <f t="shared" si="425"/>
        <v>156233.1315921426</v>
      </c>
      <c r="AR508" s="371">
        <f t="shared" si="425"/>
        <v>185110.34207353101</v>
      </c>
      <c r="AS508" s="371">
        <f t="shared" si="425"/>
        <v>191230.2476876998</v>
      </c>
      <c r="AT508" s="371">
        <f t="shared" si="425"/>
        <v>192655</v>
      </c>
      <c r="AU508" s="371">
        <f t="shared" si="425"/>
        <v>192825</v>
      </c>
      <c r="AV508" s="371">
        <f t="shared" si="425"/>
        <v>206388</v>
      </c>
      <c r="AW508" s="372">
        <f t="shared" si="425"/>
        <v>206388</v>
      </c>
      <c r="AX508" s="371">
        <f t="shared" si="425"/>
        <v>204109</v>
      </c>
      <c r="AY508" s="371">
        <f t="shared" si="425"/>
        <v>216545</v>
      </c>
      <c r="AZ508" s="371">
        <f>AZ504+AZ505</f>
        <v>224107</v>
      </c>
      <c r="BA508" s="371">
        <f>BA504+BA505</f>
        <v>249596</v>
      </c>
      <c r="BB508" s="371">
        <f>BB504+BB505</f>
        <v>216839</v>
      </c>
      <c r="BC508" s="371">
        <f t="shared" ref="BC508:BG508" si="426">BC504+BC505</f>
        <v>237495</v>
      </c>
      <c r="BD508" s="371">
        <f t="shared" si="426"/>
        <v>229983</v>
      </c>
      <c r="BE508" s="371">
        <f t="shared" si="426"/>
        <v>248411</v>
      </c>
      <c r="BF508" s="371">
        <f t="shared" si="426"/>
        <v>248261</v>
      </c>
      <c r="BG508" s="371">
        <f t="shared" si="426"/>
        <v>239983</v>
      </c>
    </row>
    <row r="509" spans="37:60" x14ac:dyDescent="0.25">
      <c r="AK509" s="448" t="s">
        <v>523</v>
      </c>
      <c r="AL509" s="248">
        <f>AL508/AL510*100</f>
        <v>35.546175617103842</v>
      </c>
      <c r="AM509" s="223">
        <f t="shared" ref="AM509:AY509" si="427">AM508/AM510*100</f>
        <v>37.016236674537481</v>
      </c>
      <c r="AN509" s="223">
        <f t="shared" si="427"/>
        <v>36.953512049001844</v>
      </c>
      <c r="AO509" s="223">
        <f t="shared" si="427"/>
        <v>36.517768798541596</v>
      </c>
      <c r="AP509" s="223">
        <f t="shared" si="427"/>
        <v>38.318230791466029</v>
      </c>
      <c r="AQ509" s="223">
        <f t="shared" si="427"/>
        <v>40.738270636441705</v>
      </c>
      <c r="AR509" s="223">
        <f t="shared" si="427"/>
        <v>43.198289308399836</v>
      </c>
      <c r="AS509" s="223">
        <f t="shared" si="427"/>
        <v>41.574929786261507</v>
      </c>
      <c r="AT509" s="223">
        <f t="shared" si="427"/>
        <v>42.775005116104204</v>
      </c>
      <c r="AU509" s="223">
        <f t="shared" si="427"/>
        <v>42.526514976081934</v>
      </c>
      <c r="AV509" s="223">
        <f t="shared" si="427"/>
        <v>44.366960170599164</v>
      </c>
      <c r="AW509" s="223">
        <f t="shared" si="427"/>
        <v>41.612832982507072</v>
      </c>
      <c r="AX509" s="223">
        <f t="shared" si="427"/>
        <v>40.406182011826353</v>
      </c>
      <c r="AY509" s="223">
        <f t="shared" si="427"/>
        <v>41.607342890465731</v>
      </c>
      <c r="AZ509" s="223">
        <f>AZ508/AZ510*100</f>
        <v>43.872868581272876</v>
      </c>
      <c r="BA509" s="223">
        <f>BA508/BA510*100</f>
        <v>45.674570787569586</v>
      </c>
      <c r="BB509" s="223">
        <f>BB508/BB510*100</f>
        <v>39.795150563051493</v>
      </c>
      <c r="BC509" s="223">
        <f t="shared" ref="BC509:BD509" si="428">BC508/BC510*100</f>
        <v>42.474698496617975</v>
      </c>
      <c r="BD509" s="223">
        <f t="shared" si="428"/>
        <v>43.358740919914254</v>
      </c>
      <c r="BE509" s="223">
        <f>BE508/BE510*100</f>
        <v>41.873326995300417</v>
      </c>
      <c r="BF509" s="223">
        <f>BF508/BF510*100</f>
        <v>40.271579825035239</v>
      </c>
      <c r="BG509" s="223">
        <f>BG508/BG510*100</f>
        <v>38.661477069703523</v>
      </c>
    </row>
    <row r="510" spans="37:60" ht="15.75" thickBot="1" x14ac:dyDescent="0.3">
      <c r="AK510" s="610" t="s">
        <v>482</v>
      </c>
      <c r="AL510" s="387">
        <f>AL470+AL508</f>
        <v>383820.82328329317</v>
      </c>
      <c r="AM510" s="388">
        <f t="shared" ref="AM510:AT510" si="429">AM470+AM508</f>
        <v>389874.48131847044</v>
      </c>
      <c r="AN510" s="388">
        <f t="shared" si="429"/>
        <v>415921.71920156642</v>
      </c>
      <c r="AO510" s="388">
        <f t="shared" si="429"/>
        <v>422264.2664028508</v>
      </c>
      <c r="AP510" s="388">
        <f t="shared" si="429"/>
        <v>392750.25399965805</v>
      </c>
      <c r="AQ510" s="388">
        <f t="shared" si="429"/>
        <v>383504.57481714257</v>
      </c>
      <c r="AR510" s="388">
        <f t="shared" si="429"/>
        <v>428513.13104553102</v>
      </c>
      <c r="AS510" s="388">
        <f t="shared" si="429"/>
        <v>459965.29319669976</v>
      </c>
      <c r="AT510" s="388">
        <f t="shared" si="429"/>
        <v>450391.53</v>
      </c>
      <c r="AU510" s="388">
        <v>453423</v>
      </c>
      <c r="AV510" s="388">
        <v>465184</v>
      </c>
      <c r="AW510" s="389">
        <v>495972</v>
      </c>
      <c r="AX510" s="388">
        <v>505143</v>
      </c>
      <c r="AY510" s="388">
        <v>520449</v>
      </c>
      <c r="AZ510" s="388">
        <v>510810</v>
      </c>
      <c r="BA510" s="388">
        <v>546466</v>
      </c>
      <c r="BB510" s="388">
        <v>544888</v>
      </c>
      <c r="BC510" s="388">
        <v>559144.64</v>
      </c>
      <c r="BD510" s="388">
        <v>530419</v>
      </c>
      <c r="BE510" s="388">
        <v>593244</v>
      </c>
      <c r="BF510" s="388">
        <v>616467</v>
      </c>
      <c r="BG510" s="611">
        <v>620729</v>
      </c>
      <c r="BH510" s="1"/>
    </row>
    <row r="511" spans="37:60" x14ac:dyDescent="0.25">
      <c r="AK511" s="25" t="s">
        <v>524</v>
      </c>
      <c r="AL511" s="398">
        <v>0</v>
      </c>
      <c r="AM511" s="232">
        <f>AM508/AL508*100-100</f>
        <v>5.778074798479409</v>
      </c>
      <c r="AN511" s="232">
        <f t="shared" ref="AN511:AY511" si="430">AN508/AM508*100-100</f>
        <v>6.5001565534992523</v>
      </c>
      <c r="AO511" s="232">
        <f t="shared" si="430"/>
        <v>0.3277901759464612</v>
      </c>
      <c r="AP511" s="232">
        <f t="shared" si="430"/>
        <v>-2.4036990807773435</v>
      </c>
      <c r="AQ511" s="232">
        <f t="shared" si="430"/>
        <v>3.8128740384318434</v>
      </c>
      <c r="AR511" s="232">
        <f t="shared" si="430"/>
        <v>18.483410136573582</v>
      </c>
      <c r="AS511" s="232">
        <f t="shared" si="430"/>
        <v>3.3060851952495369</v>
      </c>
      <c r="AT511" s="232">
        <f t="shared" si="430"/>
        <v>0.74504547765215534</v>
      </c>
      <c r="AU511" s="232">
        <f t="shared" si="430"/>
        <v>8.8240637408844691E-2</v>
      </c>
      <c r="AV511" s="232">
        <f t="shared" si="430"/>
        <v>7.0338389731621902</v>
      </c>
      <c r="AW511" s="550">
        <f t="shared" si="430"/>
        <v>0</v>
      </c>
      <c r="AX511" s="232">
        <f t="shared" si="430"/>
        <v>-1.104230866135623</v>
      </c>
      <c r="AY511" s="232">
        <f t="shared" si="430"/>
        <v>6.092822952442063</v>
      </c>
      <c r="AZ511" s="232">
        <f>AZ508/AX508*100-100</f>
        <v>9.7977061276082793</v>
      </c>
      <c r="BA511" s="232">
        <f>BA508/AZ508*100-100</f>
        <v>11.373584939337022</v>
      </c>
      <c r="BB511" s="232">
        <f>BB508/BA508*100-100</f>
        <v>-13.124008397570478</v>
      </c>
      <c r="BC511" s="232">
        <f t="shared" ref="BC511:BD511" si="431">BC508/BB508*100-100</f>
        <v>9.5259616581887911</v>
      </c>
      <c r="BD511" s="232">
        <f t="shared" si="431"/>
        <v>-3.1630139581885999</v>
      </c>
      <c r="BE511" s="232">
        <f>BE508/BD508*100-100</f>
        <v>8.0127661609771224</v>
      </c>
      <c r="BF511" s="232">
        <f>BF508/BE508*100-100</f>
        <v>-6.0383799429175156E-2</v>
      </c>
      <c r="BG511" s="232">
        <f>BG508/BF508*100-100</f>
        <v>-3.334394044976861</v>
      </c>
    </row>
    <row r="512" spans="37:60" x14ac:dyDescent="0.25">
      <c r="AK512" s="15" t="s">
        <v>525</v>
      </c>
      <c r="AL512" s="13">
        <f>AL504/AL510*100</f>
        <v>3.2567279422393174E-2</v>
      </c>
      <c r="AM512" s="458">
        <f t="shared" ref="AM512:AW512" si="432">AM504/AM510*100</f>
        <v>3.3086546101648837E-2</v>
      </c>
      <c r="AN512" s="458">
        <f t="shared" si="432"/>
        <v>2.6447284409951949E-2</v>
      </c>
      <c r="AO512" s="458">
        <f t="shared" si="432"/>
        <v>1.3735474349768097E-2</v>
      </c>
      <c r="AP512" s="458">
        <f t="shared" si="432"/>
        <v>1.4258424897173654E-2</v>
      </c>
      <c r="AQ512" s="458">
        <f t="shared" si="432"/>
        <v>4.7457060997715281E-2</v>
      </c>
      <c r="AR512" s="458">
        <f t="shared" si="432"/>
        <v>2.4036602973796825E-2</v>
      </c>
      <c r="AS512" s="458">
        <f t="shared" si="432"/>
        <v>5.4351926916601052E-3</v>
      </c>
      <c r="AT512" s="458">
        <f t="shared" si="432"/>
        <v>0.27842441886062996</v>
      </c>
      <c r="AU512" s="458">
        <f t="shared" si="432"/>
        <v>0.27656294453523528</v>
      </c>
      <c r="AV512" s="458">
        <f t="shared" si="432"/>
        <v>4.7293114122583758E-3</v>
      </c>
      <c r="AW512" s="459">
        <f t="shared" si="432"/>
        <v>4.4357342753219937E-3</v>
      </c>
      <c r="AX512" s="14">
        <f>AX504/AX510*100</f>
        <v>8.9083685213889926E-3</v>
      </c>
      <c r="AY512" s="14">
        <f>AY504/AY510*100</f>
        <v>4.0349774905898556E-3</v>
      </c>
      <c r="AZ512" s="14">
        <f>AZ504/AZ510*100</f>
        <v>5.8730251952780884E-4</v>
      </c>
      <c r="BA512" s="14">
        <f>BA504/BA510*100</f>
        <v>5.4898200436989675E-4</v>
      </c>
      <c r="BB512" s="14">
        <f>BB504/BB510*100</f>
        <v>5.5057186063925065E-4</v>
      </c>
      <c r="BC512" s="14">
        <f t="shared" ref="BC512:BG512" si="433">BC504/BC510*100</f>
        <v>5.365338027741802E-4</v>
      </c>
      <c r="BD512" s="14">
        <f t="shared" si="433"/>
        <v>3.7706039942008113E-4</v>
      </c>
      <c r="BE512" s="14">
        <f t="shared" si="433"/>
        <v>3.3712941049551278E-4</v>
      </c>
      <c r="BF512" s="14">
        <f t="shared" si="433"/>
        <v>3.2442936929308466E-4</v>
      </c>
      <c r="BG512" s="14">
        <f t="shared" si="433"/>
        <v>3.2220179820823577E-4</v>
      </c>
    </row>
    <row r="513" spans="37:59" ht="15.75" thickBot="1" x14ac:dyDescent="0.3">
      <c r="AK513" s="15" t="s">
        <v>526</v>
      </c>
      <c r="AL513" s="402">
        <f>AL505/AL510*100</f>
        <v>35.513608337681454</v>
      </c>
      <c r="AM513" s="501">
        <f t="shared" ref="AM513:AW513" si="434">AM505/AM510*100</f>
        <v>36.983150128435824</v>
      </c>
      <c r="AN513" s="501">
        <f t="shared" si="434"/>
        <v>36.927064764591897</v>
      </c>
      <c r="AO513" s="501">
        <f t="shared" si="434"/>
        <v>36.504033324191823</v>
      </c>
      <c r="AP513" s="501">
        <f t="shared" si="434"/>
        <v>38.303972366568857</v>
      </c>
      <c r="AQ513" s="501">
        <f t="shared" si="434"/>
        <v>40.69081357544399</v>
      </c>
      <c r="AR513" s="501">
        <f t="shared" si="434"/>
        <v>43.174252705426042</v>
      </c>
      <c r="AS513" s="501">
        <f t="shared" si="434"/>
        <v>41.569494593569843</v>
      </c>
      <c r="AT513" s="501">
        <f t="shared" si="434"/>
        <v>42.496580697243566</v>
      </c>
      <c r="AU513" s="501">
        <f t="shared" si="434"/>
        <v>42.249952031546698</v>
      </c>
      <c r="AV513" s="501">
        <f t="shared" si="434"/>
        <v>44.362230859186901</v>
      </c>
      <c r="AW513" s="612">
        <f t="shared" si="434"/>
        <v>41.608397248231753</v>
      </c>
      <c r="AX513" s="403">
        <f>AX505/AX510*100</f>
        <v>40.397273643304963</v>
      </c>
      <c r="AY513" s="403">
        <f>AY505/AY510*100</f>
        <v>41.60330791297514</v>
      </c>
      <c r="AZ513" s="403">
        <f>AZ505/AZ510*100</f>
        <v>43.872281278753348</v>
      </c>
      <c r="BA513" s="403">
        <f>BA505/BA510*100</f>
        <v>45.674021805565211</v>
      </c>
      <c r="BB513" s="403">
        <f>BB505/BB510*100</f>
        <v>39.79459999119085</v>
      </c>
      <c r="BC513" s="403">
        <f t="shared" ref="BC513:BG513" si="435">BC505/BC510*100</f>
        <v>42.474161962815202</v>
      </c>
      <c r="BD513" s="403">
        <f t="shared" si="435"/>
        <v>43.358363859514839</v>
      </c>
      <c r="BE513" s="403">
        <f t="shared" si="435"/>
        <v>41.87298986588992</v>
      </c>
      <c r="BF513" s="403">
        <f t="shared" si="435"/>
        <v>40.271255395665953</v>
      </c>
      <c r="BG513" s="403">
        <f t="shared" si="435"/>
        <v>38.661154867905317</v>
      </c>
    </row>
    <row r="514" spans="37:59" ht="15.75" thickBot="1" x14ac:dyDescent="0.3">
      <c r="AK514" s="12" t="s">
        <v>26</v>
      </c>
      <c r="AL514" s="464">
        <f t="shared" ref="AL514:AW514" si="436">AL491+AL510</f>
        <v>825056.05331170675</v>
      </c>
      <c r="AM514" s="465">
        <f t="shared" si="436"/>
        <v>848204.67131698679</v>
      </c>
      <c r="AN514" s="465">
        <f t="shared" si="436"/>
        <v>924695.05832445691</v>
      </c>
      <c r="AO514" s="465">
        <f t="shared" si="436"/>
        <v>985514.35667164205</v>
      </c>
      <c r="AP514" s="465">
        <f t="shared" si="436"/>
        <v>997790.18314703007</v>
      </c>
      <c r="AQ514" s="465">
        <f t="shared" si="436"/>
        <v>1005984.6305548277</v>
      </c>
      <c r="AR514" s="465">
        <f t="shared" si="436"/>
        <v>1073237.7531349021</v>
      </c>
      <c r="AS514" s="465">
        <f t="shared" si="436"/>
        <v>1070624.2192326742</v>
      </c>
      <c r="AT514" s="465">
        <f t="shared" si="436"/>
        <v>1030759.5160000001</v>
      </c>
      <c r="AU514" s="465">
        <f t="shared" si="436"/>
        <v>1072544</v>
      </c>
      <c r="AV514" s="465">
        <f t="shared" si="436"/>
        <v>1109892</v>
      </c>
      <c r="AW514" s="465">
        <f t="shared" si="436"/>
        <v>1163376</v>
      </c>
      <c r="AX514" s="465">
        <v>1160339</v>
      </c>
      <c r="AY514" s="465">
        <v>1205011</v>
      </c>
      <c r="AZ514" s="465">
        <v>1233423</v>
      </c>
      <c r="BA514" s="465">
        <v>1292983</v>
      </c>
      <c r="BB514" s="465">
        <v>1273745</v>
      </c>
      <c r="BC514" s="465">
        <v>1292276.71</v>
      </c>
      <c r="BD514" s="465">
        <v>1306049</v>
      </c>
      <c r="BE514" s="482">
        <v>1405757</v>
      </c>
      <c r="BF514" s="465">
        <v>1431391</v>
      </c>
      <c r="BG514" s="467">
        <v>1435198</v>
      </c>
    </row>
    <row r="515" spans="37:59" ht="15.75" thickBot="1" x14ac:dyDescent="0.3">
      <c r="AK515" s="639" t="s">
        <v>503</v>
      </c>
      <c r="AL515" s="640">
        <f>AL508/AL510*100</f>
        <v>35.546175617103842</v>
      </c>
      <c r="AM515" s="641">
        <f t="shared" ref="AM515:BG515" si="437">AM508/AM510*100</f>
        <v>37.016236674537481</v>
      </c>
      <c r="AN515" s="641">
        <f t="shared" si="437"/>
        <v>36.953512049001844</v>
      </c>
      <c r="AO515" s="641">
        <f t="shared" si="437"/>
        <v>36.517768798541596</v>
      </c>
      <c r="AP515" s="641">
        <f t="shared" si="437"/>
        <v>38.318230791466029</v>
      </c>
      <c r="AQ515" s="641">
        <f t="shared" si="437"/>
        <v>40.738270636441705</v>
      </c>
      <c r="AR515" s="641">
        <f t="shared" si="437"/>
        <v>43.198289308399836</v>
      </c>
      <c r="AS515" s="641">
        <f t="shared" si="437"/>
        <v>41.574929786261507</v>
      </c>
      <c r="AT515" s="641">
        <f t="shared" si="437"/>
        <v>42.775005116104204</v>
      </c>
      <c r="AU515" s="641">
        <f t="shared" si="437"/>
        <v>42.526514976081934</v>
      </c>
      <c r="AV515" s="641">
        <f t="shared" si="437"/>
        <v>44.366960170599164</v>
      </c>
      <c r="AW515" s="641">
        <f t="shared" si="437"/>
        <v>41.612832982507072</v>
      </c>
      <c r="AX515" s="641">
        <f t="shared" si="437"/>
        <v>40.406182011826353</v>
      </c>
      <c r="AY515" s="641">
        <f t="shared" si="437"/>
        <v>41.607342890465731</v>
      </c>
      <c r="AZ515" s="641">
        <f t="shared" si="437"/>
        <v>43.872868581272876</v>
      </c>
      <c r="BA515" s="641">
        <f t="shared" si="437"/>
        <v>45.674570787569586</v>
      </c>
      <c r="BB515" s="641">
        <f t="shared" si="437"/>
        <v>39.795150563051493</v>
      </c>
      <c r="BC515" s="641">
        <f t="shared" si="437"/>
        <v>42.474698496617975</v>
      </c>
      <c r="BD515" s="641">
        <f t="shared" si="437"/>
        <v>43.358740919914254</v>
      </c>
      <c r="BE515" s="641">
        <f t="shared" si="437"/>
        <v>41.873326995300417</v>
      </c>
      <c r="BF515" s="641">
        <f t="shared" si="437"/>
        <v>40.271579825035239</v>
      </c>
      <c r="BG515" s="641">
        <f t="shared" si="437"/>
        <v>38.661477069703523</v>
      </c>
    </row>
    <row r="516" spans="37:59" ht="15.75" thickBot="1" x14ac:dyDescent="0.3">
      <c r="AK516" s="336" t="s">
        <v>527</v>
      </c>
      <c r="AL516" s="613">
        <f t="shared" ref="AL516:BG516" si="438">AL508/AL514*100</f>
        <v>16.536285425900449</v>
      </c>
      <c r="AM516" s="258">
        <f t="shared" si="438"/>
        <v>17.0143911745255</v>
      </c>
      <c r="AN516" s="258">
        <f t="shared" si="438"/>
        <v>16.621445225203857</v>
      </c>
      <c r="AO516" s="258">
        <f t="shared" si="438"/>
        <v>15.646802857812483</v>
      </c>
      <c r="AP516" s="258">
        <f t="shared" si="438"/>
        <v>15.082825157388999</v>
      </c>
      <c r="AQ516" s="258">
        <f t="shared" si="438"/>
        <v>15.530369634571434</v>
      </c>
      <c r="AR516" s="258">
        <f t="shared" si="438"/>
        <v>17.247841080210613</v>
      </c>
      <c r="AS516" s="258">
        <f t="shared" si="438"/>
        <v>17.861565641094518</v>
      </c>
      <c r="AT516" s="258">
        <f t="shared" si="438"/>
        <v>18.690586602355459</v>
      </c>
      <c r="AU516" s="258">
        <f t="shared" si="438"/>
        <v>17.978283408419607</v>
      </c>
      <c r="AV516" s="258">
        <f t="shared" si="438"/>
        <v>18.595322788163173</v>
      </c>
      <c r="AW516" s="258">
        <f t="shared" si="438"/>
        <v>17.740438173041216</v>
      </c>
      <c r="AX516" s="258">
        <f t="shared" si="438"/>
        <v>17.590462787168232</v>
      </c>
      <c r="AY516" s="258">
        <f t="shared" si="438"/>
        <v>17.970375374166707</v>
      </c>
      <c r="AZ516" s="258">
        <f t="shared" si="438"/>
        <v>18.169516864854959</v>
      </c>
      <c r="BA516" s="258">
        <f t="shared" si="438"/>
        <v>19.303888759558323</v>
      </c>
      <c r="BB516" s="258">
        <f t="shared" si="438"/>
        <v>17.023737090233919</v>
      </c>
      <c r="BC516" s="258">
        <f t="shared" si="438"/>
        <v>18.378029888041549</v>
      </c>
      <c r="BD516" s="258">
        <f t="shared" si="438"/>
        <v>17.60906367218994</v>
      </c>
      <c r="BE516" s="258">
        <f t="shared" si="438"/>
        <v>17.670977274166162</v>
      </c>
      <c r="BF516" s="258">
        <f t="shared" si="438"/>
        <v>17.344038072057181</v>
      </c>
      <c r="BG516" s="258">
        <f t="shared" si="438"/>
        <v>16.721246824479969</v>
      </c>
    </row>
    <row r="517" spans="37:59" x14ac:dyDescent="0.25">
      <c r="AK517" s="100"/>
      <c r="AL517" s="152"/>
      <c r="AM517" s="152"/>
      <c r="AN517" s="152"/>
      <c r="AO517" s="152"/>
      <c r="AP517" s="152"/>
      <c r="AQ517" s="152"/>
      <c r="AR517" s="152"/>
      <c r="AS517" s="152"/>
      <c r="AT517" s="152"/>
      <c r="AU517" s="152"/>
      <c r="AV517" s="152"/>
      <c r="AW517" s="152"/>
    </row>
    <row r="518" spans="37:59" x14ac:dyDescent="0.25">
      <c r="AK518" s="100"/>
      <c r="AL518" s="152"/>
      <c r="AM518" s="152"/>
      <c r="AN518" s="152"/>
      <c r="AO518" s="152"/>
      <c r="AP518" s="152"/>
      <c r="AQ518" s="152"/>
      <c r="AR518" s="152"/>
      <c r="AS518" s="152"/>
      <c r="AT518" s="152"/>
      <c r="AU518" s="152"/>
      <c r="AV518" s="152"/>
      <c r="AW518" s="152"/>
    </row>
    <row r="519" spans="37:59" ht="15.75" thickBot="1" x14ac:dyDescent="0.3">
      <c r="AK519" s="100"/>
      <c r="AL519" s="152"/>
      <c r="AM519" s="152"/>
      <c r="AN519" s="152"/>
      <c r="AO519" s="152"/>
      <c r="AP519" s="152"/>
      <c r="AQ519" s="152"/>
      <c r="AR519" s="152"/>
      <c r="AS519" s="152"/>
      <c r="AT519" s="152"/>
      <c r="AU519" s="152"/>
      <c r="AV519" s="152"/>
      <c r="AW519" s="152"/>
    </row>
    <row r="520" spans="37:59" ht="19.5" thickBot="1" x14ac:dyDescent="0.35">
      <c r="AK520" s="1112" t="s">
        <v>528</v>
      </c>
      <c r="AL520" s="1113"/>
      <c r="AM520" s="1113"/>
      <c r="AN520" s="1113"/>
      <c r="AO520" s="1113"/>
      <c r="AP520" s="1113"/>
      <c r="AQ520" s="1113"/>
      <c r="AR520" s="1113"/>
      <c r="AS520" s="1113"/>
      <c r="AT520" s="1113"/>
      <c r="AU520" s="1113"/>
      <c r="AV520" s="1113"/>
      <c r="AW520" s="1113"/>
      <c r="AX520" s="1113"/>
      <c r="AY520" s="1113"/>
      <c r="AZ520" s="1113"/>
      <c r="BA520" s="1113"/>
      <c r="BB520" s="1113"/>
      <c r="BC520" s="1113"/>
      <c r="BD520" s="1113"/>
      <c r="BE520" s="1113"/>
      <c r="BF520" s="1114"/>
    </row>
    <row r="521" spans="37:59" ht="19.5" thickBot="1" x14ac:dyDescent="0.35">
      <c r="AK521" s="642"/>
      <c r="AL521" s="642"/>
      <c r="AM521" s="642"/>
      <c r="AN521" s="642"/>
      <c r="AO521" s="642"/>
      <c r="AP521" s="642"/>
      <c r="AQ521" s="642"/>
      <c r="AR521" s="642"/>
      <c r="AS521" s="642"/>
      <c r="AT521" s="642"/>
      <c r="AU521" s="642"/>
      <c r="AV521" s="642"/>
      <c r="AW521" s="642"/>
    </row>
    <row r="522" spans="37:59" ht="15.75" thickBot="1" x14ac:dyDescent="0.3">
      <c r="AK522" s="157" t="s">
        <v>493</v>
      </c>
      <c r="AL522" s="34" t="s">
        <v>0</v>
      </c>
      <c r="AM522" s="35" t="s">
        <v>1</v>
      </c>
      <c r="AN522" s="35" t="s">
        <v>2</v>
      </c>
      <c r="AO522" s="35" t="s">
        <v>3</v>
      </c>
      <c r="AP522" s="35" t="s">
        <v>4</v>
      </c>
      <c r="AQ522" s="35" t="s">
        <v>5</v>
      </c>
      <c r="AR522" s="35" t="s">
        <v>6</v>
      </c>
      <c r="AS522" s="35" t="s">
        <v>7</v>
      </c>
      <c r="AT522" s="35" t="s">
        <v>27</v>
      </c>
      <c r="AU522" s="35" t="s">
        <v>9</v>
      </c>
      <c r="AV522" s="35" t="s">
        <v>10</v>
      </c>
      <c r="AW522" s="176" t="s">
        <v>11</v>
      </c>
      <c r="AX522" s="176" t="s">
        <v>12</v>
      </c>
      <c r="AY522" s="369" t="s">
        <v>13</v>
      </c>
      <c r="AZ522" s="176" t="s">
        <v>14</v>
      </c>
      <c r="BA522" s="176" t="s">
        <v>15</v>
      </c>
      <c r="BB522" s="176" t="s">
        <v>16</v>
      </c>
      <c r="BC522" s="176" t="s">
        <v>17</v>
      </c>
      <c r="BD522" s="176" t="s">
        <v>18</v>
      </c>
      <c r="BE522" s="176" t="s">
        <v>19</v>
      </c>
      <c r="BF522" s="176" t="s">
        <v>20</v>
      </c>
    </row>
    <row r="523" spans="37:59" x14ac:dyDescent="0.25">
      <c r="AK523" s="643" t="s">
        <v>495</v>
      </c>
      <c r="AL523" s="644">
        <v>409870.76179899997</v>
      </c>
      <c r="AM523" s="410">
        <v>428995.39824894193</v>
      </c>
      <c r="AN523" s="410">
        <v>474601.58699600003</v>
      </c>
      <c r="AO523" s="410">
        <v>525589.42417999986</v>
      </c>
      <c r="AP523" s="410">
        <v>563899.78637700004</v>
      </c>
      <c r="AQ523" s="410">
        <v>580483.56628499995</v>
      </c>
      <c r="AR523" s="410">
        <v>597954.99838400004</v>
      </c>
      <c r="AS523" s="410">
        <v>564749.78803599998</v>
      </c>
      <c r="AT523" s="410">
        <v>533598.98600000003</v>
      </c>
      <c r="AU523" s="410">
        <f>AU452</f>
        <v>571979</v>
      </c>
      <c r="AV523" s="410">
        <f>AV452</f>
        <v>595982</v>
      </c>
      <c r="AW523" s="645">
        <f>AW452</f>
        <v>616108</v>
      </c>
      <c r="AX523" s="645">
        <f>AX452</f>
        <v>571881</v>
      </c>
      <c r="AY523" s="645">
        <v>627368</v>
      </c>
      <c r="AZ523" s="645">
        <v>623398</v>
      </c>
      <c r="BA523" s="645">
        <v>692486</v>
      </c>
      <c r="BB523" s="645">
        <f>'[15]2019. IV. Állomány adatok'!I17+'[15]2019. IV. Állomány adatok'!I59</f>
        <v>671876</v>
      </c>
      <c r="BC523" s="645">
        <f>'[15]2020. I. Állomány adatok'!I18+'[15]2020. I. Állomány adatok'!I65</f>
        <v>672235</v>
      </c>
      <c r="BD523" s="645">
        <f>'[15]2020. II. Állományi adatok'!I18+'[15]2020. II. Állományi adatok'!I65</f>
        <v>718329</v>
      </c>
      <c r="BE523" s="645">
        <v>756980</v>
      </c>
      <c r="BF523" s="645">
        <f>BF452</f>
        <v>761632</v>
      </c>
    </row>
    <row r="524" spans="37:59" x14ac:dyDescent="0.25">
      <c r="AK524" s="610" t="s">
        <v>505</v>
      </c>
      <c r="AL524" s="524">
        <v>247387.19938399998</v>
      </c>
      <c r="AM524" s="304">
        <v>245557.62057999999</v>
      </c>
      <c r="AN524" s="304">
        <v>262224.03658199997</v>
      </c>
      <c r="AO524" s="304">
        <v>268062.777879</v>
      </c>
      <c r="AP524" s="304">
        <v>242255.305238</v>
      </c>
      <c r="AQ524" s="304">
        <v>227271.443225</v>
      </c>
      <c r="AR524" s="304">
        <v>243402.78897200001</v>
      </c>
      <c r="AS524" s="304">
        <v>268735.04550899996</v>
      </c>
      <c r="AT524" s="304">
        <v>257736.53</v>
      </c>
      <c r="AU524" s="304">
        <f>AU470</f>
        <v>260598</v>
      </c>
      <c r="AV524" s="304">
        <f>AV470</f>
        <v>258796</v>
      </c>
      <c r="AW524" s="455">
        <f>AW470</f>
        <v>285265</v>
      </c>
      <c r="AX524" s="455">
        <f>AX470</f>
        <v>301034</v>
      </c>
      <c r="AY524" s="455">
        <v>303904</v>
      </c>
      <c r="AZ524" s="455">
        <v>284110</v>
      </c>
      <c r="BA524" s="455">
        <v>296870</v>
      </c>
      <c r="BB524" s="455">
        <f>'[15]2019. IV. Állomány adatok'!I32+'[15]2019. IV. Állomány adatok'!I74</f>
        <v>328049</v>
      </c>
      <c r="BC524" s="455">
        <f>'[15]2020. I. Állomány adatok'!I34+'[15]2020. I. Állomány adatok'!I81</f>
        <v>321650</v>
      </c>
      <c r="BD524" s="455">
        <f>'[15]2020. II. Állományi adatok'!I34+'[15]2020. II. Állományi adatok'!I81</f>
        <v>300436</v>
      </c>
      <c r="BE524" s="455">
        <v>344833</v>
      </c>
      <c r="BF524" s="455">
        <f>BF470</f>
        <v>368206</v>
      </c>
    </row>
    <row r="525" spans="37:59" x14ac:dyDescent="0.25">
      <c r="AK525" s="646" t="s">
        <v>529</v>
      </c>
      <c r="AL525" s="647">
        <f>AL523+AL524</f>
        <v>657257.96118299989</v>
      </c>
      <c r="AM525" s="647">
        <f t="shared" ref="AM525:BA525" si="439">AM523+AM524</f>
        <v>674553.01882894197</v>
      </c>
      <c r="AN525" s="647">
        <f t="shared" si="439"/>
        <v>736825.623578</v>
      </c>
      <c r="AO525" s="647">
        <f t="shared" si="439"/>
        <v>793652.2020589998</v>
      </c>
      <c r="AP525" s="647">
        <f t="shared" si="439"/>
        <v>806155.09161500004</v>
      </c>
      <c r="AQ525" s="647">
        <f t="shared" si="439"/>
        <v>807755.00951</v>
      </c>
      <c r="AR525" s="647">
        <f t="shared" si="439"/>
        <v>841357.78735600004</v>
      </c>
      <c r="AS525" s="647">
        <f t="shared" si="439"/>
        <v>833484.83354499994</v>
      </c>
      <c r="AT525" s="647">
        <f t="shared" si="439"/>
        <v>791335.51600000006</v>
      </c>
      <c r="AU525" s="647">
        <f t="shared" si="439"/>
        <v>832577</v>
      </c>
      <c r="AV525" s="647">
        <f t="shared" si="439"/>
        <v>854778</v>
      </c>
      <c r="AW525" s="647">
        <f t="shared" si="439"/>
        <v>901373</v>
      </c>
      <c r="AX525" s="647">
        <f t="shared" si="439"/>
        <v>872915</v>
      </c>
      <c r="AY525" s="647">
        <f t="shared" si="439"/>
        <v>931272</v>
      </c>
      <c r="AZ525" s="647">
        <f t="shared" si="439"/>
        <v>907508</v>
      </c>
      <c r="BA525" s="647">
        <f t="shared" si="439"/>
        <v>989356</v>
      </c>
      <c r="BB525" s="648">
        <f>'[15]2019. IV. Állomány adatok'!I44+'[15]2019. IV. Állomány adatok'!I75</f>
        <v>999925</v>
      </c>
      <c r="BC525" s="648">
        <f>BC523+BC524</f>
        <v>993885</v>
      </c>
      <c r="BD525" s="648">
        <f>BD523+BD524</f>
        <v>1018765</v>
      </c>
      <c r="BE525" s="648">
        <f>BE523+BE524</f>
        <v>1101813</v>
      </c>
      <c r="BF525" s="648">
        <f>BF523+BF524</f>
        <v>1129838</v>
      </c>
    </row>
    <row r="526" spans="37:59" x14ac:dyDescent="0.25">
      <c r="AK526" s="649" t="s">
        <v>139</v>
      </c>
      <c r="AL526" s="650">
        <f>AL525+AL538</f>
        <v>825056.05331170675</v>
      </c>
      <c r="AM526" s="650">
        <f t="shared" ref="AM526:AT526" si="440">AM525+AM538</f>
        <v>848204.67131698679</v>
      </c>
      <c r="AN526" s="650">
        <f t="shared" si="440"/>
        <v>924695.05832445691</v>
      </c>
      <c r="AO526" s="650">
        <f t="shared" si="440"/>
        <v>985514.35667164205</v>
      </c>
      <c r="AP526" s="650">
        <f t="shared" si="440"/>
        <v>997790.18314703007</v>
      </c>
      <c r="AQ526" s="650">
        <f t="shared" si="440"/>
        <v>1005984.6305548279</v>
      </c>
      <c r="AR526" s="650">
        <f t="shared" si="440"/>
        <v>1073237.7531349019</v>
      </c>
      <c r="AS526" s="650">
        <f t="shared" si="440"/>
        <v>1070624.2192326742</v>
      </c>
      <c r="AT526" s="650">
        <f t="shared" si="440"/>
        <v>1030759.5160000001</v>
      </c>
      <c r="AU526" s="650">
        <v>1072544</v>
      </c>
      <c r="AV526" s="650">
        <v>1109892</v>
      </c>
      <c r="AW526" s="650">
        <v>1163376</v>
      </c>
      <c r="AX526" s="650">
        <v>1160339</v>
      </c>
      <c r="AY526" s="650">
        <v>1205011</v>
      </c>
      <c r="AZ526" s="650">
        <v>1233423</v>
      </c>
      <c r="BA526" s="650">
        <v>1292983</v>
      </c>
      <c r="BB526" s="637">
        <v>1273745</v>
      </c>
      <c r="BC526" s="637">
        <v>1292276.71</v>
      </c>
      <c r="BD526" s="637">
        <v>1306049</v>
      </c>
      <c r="BE526" s="637">
        <v>1405757</v>
      </c>
      <c r="BF526" s="637">
        <v>1431391</v>
      </c>
    </row>
    <row r="527" spans="37:59" ht="15.75" thickBot="1" x14ac:dyDescent="0.3">
      <c r="AK527" s="651" t="s">
        <v>530</v>
      </c>
      <c r="AL527" s="652">
        <f>AL525/AL526*100</f>
        <v>79.662219135878203</v>
      </c>
      <c r="AM527" s="652">
        <f t="shared" ref="AM527:AY527" si="441">AM525/AM526*100</f>
        <v>79.527152070688302</v>
      </c>
      <c r="AN527" s="652">
        <f t="shared" si="441"/>
        <v>79.683093031028477</v>
      </c>
      <c r="AO527" s="652">
        <f t="shared" si="441"/>
        <v>80.531774771844582</v>
      </c>
      <c r="AP527" s="652">
        <f t="shared" si="441"/>
        <v>80.794049213070736</v>
      </c>
      <c r="AQ527" s="652">
        <f t="shared" si="441"/>
        <v>80.294965248574528</v>
      </c>
      <c r="AR527" s="652">
        <f t="shared" si="441"/>
        <v>78.39435250003217</v>
      </c>
      <c r="AS527" s="652">
        <f t="shared" si="441"/>
        <v>77.850362300076299</v>
      </c>
      <c r="AT527" s="652">
        <f t="shared" si="441"/>
        <v>76.772079589513098</v>
      </c>
      <c r="AU527" s="652">
        <f t="shared" si="441"/>
        <v>77.626372437867346</v>
      </c>
      <c r="AV527" s="652">
        <f t="shared" si="441"/>
        <v>77.014520331707942</v>
      </c>
      <c r="AW527" s="652">
        <f t="shared" si="441"/>
        <v>77.479078131231859</v>
      </c>
      <c r="AX527" s="652">
        <f t="shared" si="441"/>
        <v>75.229307986717671</v>
      </c>
      <c r="AY527" s="652">
        <f t="shared" si="441"/>
        <v>77.283277911985877</v>
      </c>
      <c r="AZ527" s="652">
        <f>AZ525/AZ526*100</f>
        <v>73.576380528010262</v>
      </c>
      <c r="BA527" s="652">
        <f t="shared" ref="BA527:BF527" si="442">BA525/BA526*100</f>
        <v>76.517324667068323</v>
      </c>
      <c r="BB527" s="653">
        <f t="shared" si="442"/>
        <v>78.502761541752861</v>
      </c>
      <c r="BC527" s="653">
        <f t="shared" si="442"/>
        <v>76.909611719304294</v>
      </c>
      <c r="BD527" s="653">
        <f t="shared" si="442"/>
        <v>78.003581795170007</v>
      </c>
      <c r="BE527" s="653">
        <f t="shared" si="442"/>
        <v>78.378624470658863</v>
      </c>
      <c r="BF527" s="653">
        <f t="shared" si="442"/>
        <v>78.932870194097902</v>
      </c>
      <c r="BG527" s="1"/>
    </row>
    <row r="528" spans="37:59" ht="15.75" thickBot="1" x14ac:dyDescent="0.3">
      <c r="AK528" s="629" t="s">
        <v>499</v>
      </c>
      <c r="AL528" s="630">
        <f>AL523/AL526*100</f>
        <v>49.677929172668044</v>
      </c>
      <c r="AM528" s="630">
        <f t="shared" ref="AM528:BF528" si="443">AM523/AM526*100</f>
        <v>50.576872865230897</v>
      </c>
      <c r="AN528" s="630">
        <f t="shared" si="443"/>
        <v>51.325199883297302</v>
      </c>
      <c r="AO528" s="630">
        <f t="shared" si="443"/>
        <v>53.331483262715984</v>
      </c>
      <c r="AP528" s="630">
        <f t="shared" si="443"/>
        <v>56.51486614134248</v>
      </c>
      <c r="AQ528" s="630">
        <f t="shared" si="443"/>
        <v>57.70302533994456</v>
      </c>
      <c r="AR528" s="630">
        <f t="shared" si="443"/>
        <v>55.715054435737819</v>
      </c>
      <c r="AS528" s="630">
        <f t="shared" si="443"/>
        <v>52.74958084179724</v>
      </c>
      <c r="AT528" s="630">
        <f t="shared" si="443"/>
        <v>51.767553703574052</v>
      </c>
      <c r="AU528" s="630">
        <f>AU523/AU526*100</f>
        <v>53.329187427275713</v>
      </c>
      <c r="AV528" s="630">
        <f t="shared" si="443"/>
        <v>53.697296673910614</v>
      </c>
      <c r="AW528" s="630">
        <f t="shared" si="443"/>
        <v>52.958630743628888</v>
      </c>
      <c r="AX528" s="630">
        <f t="shared" si="443"/>
        <v>49.285682890948252</v>
      </c>
      <c r="AY528" s="630">
        <f>AY523/AY526*100</f>
        <v>52.063259173567708</v>
      </c>
      <c r="AZ528" s="630">
        <f t="shared" si="443"/>
        <v>50.542109235842048</v>
      </c>
      <c r="BA528" s="630">
        <f t="shared" si="443"/>
        <v>53.557239344987515</v>
      </c>
      <c r="BB528" s="630">
        <f t="shared" si="443"/>
        <v>52.748077519440706</v>
      </c>
      <c r="BC528" s="630">
        <f t="shared" si="443"/>
        <v>52.019431658719597</v>
      </c>
      <c r="BD528" s="630">
        <f t="shared" si="443"/>
        <v>55.000156961951653</v>
      </c>
      <c r="BE528" s="630">
        <f t="shared" si="443"/>
        <v>53.848566999844216</v>
      </c>
      <c r="BF528" s="630">
        <f t="shared" si="443"/>
        <v>53.209220960590088</v>
      </c>
      <c r="BG528" s="1"/>
    </row>
    <row r="529" spans="37:85" ht="15.75" thickBot="1" x14ac:dyDescent="0.3">
      <c r="AK529" s="654" t="s">
        <v>508</v>
      </c>
      <c r="AL529" s="622">
        <f>AL524/AL526*100</f>
        <v>29.984289963210166</v>
      </c>
      <c r="AM529" s="622">
        <f t="shared" ref="AM529:BF529" si="444">AM524/AM526*100</f>
        <v>28.950279205457406</v>
      </c>
      <c r="AN529" s="622">
        <f t="shared" si="444"/>
        <v>28.357893147731179</v>
      </c>
      <c r="AO529" s="622">
        <f t="shared" si="444"/>
        <v>27.200291509128601</v>
      </c>
      <c r="AP529" s="622">
        <f t="shared" si="444"/>
        <v>24.279183071728248</v>
      </c>
      <c r="AQ529" s="622">
        <f t="shared" si="444"/>
        <v>22.591939908629975</v>
      </c>
      <c r="AR529" s="622">
        <f t="shared" si="444"/>
        <v>22.679298064294354</v>
      </c>
      <c r="AS529" s="622">
        <f t="shared" si="444"/>
        <v>25.100781458279052</v>
      </c>
      <c r="AT529" s="622">
        <f t="shared" si="444"/>
        <v>25.004525885939046</v>
      </c>
      <c r="AU529" s="622">
        <f t="shared" si="444"/>
        <v>24.29718501059164</v>
      </c>
      <c r="AV529" s="622">
        <f t="shared" si="444"/>
        <v>23.317223657797335</v>
      </c>
      <c r="AW529" s="622">
        <f t="shared" si="444"/>
        <v>24.520447387602974</v>
      </c>
      <c r="AX529" s="622">
        <f t="shared" si="444"/>
        <v>25.943625095769423</v>
      </c>
      <c r="AY529" s="622">
        <f t="shared" si="444"/>
        <v>25.220018738418155</v>
      </c>
      <c r="AZ529" s="622">
        <f t="shared" si="444"/>
        <v>23.034271292168217</v>
      </c>
      <c r="BA529" s="622">
        <f t="shared" si="444"/>
        <v>22.960085322080801</v>
      </c>
      <c r="BB529" s="622">
        <f t="shared" si="444"/>
        <v>25.754684022312158</v>
      </c>
      <c r="BC529" s="622">
        <f t="shared" si="444"/>
        <v>24.890180060584704</v>
      </c>
      <c r="BD529" s="622">
        <f t="shared" si="444"/>
        <v>23.003424833218354</v>
      </c>
      <c r="BE529" s="622">
        <f t="shared" si="444"/>
        <v>24.530057470814658</v>
      </c>
      <c r="BF529" s="622">
        <f t="shared" si="444"/>
        <v>25.723649233507828</v>
      </c>
      <c r="BG529" s="1"/>
    </row>
    <row r="530" spans="37:85" ht="15.75" thickBot="1" x14ac:dyDescent="0.3">
      <c r="AK530" s="629" t="s">
        <v>531</v>
      </c>
      <c r="AL530" s="630">
        <f>AL523/AL525*100</f>
        <v>62.360714666928153</v>
      </c>
      <c r="AM530" s="630">
        <f t="shared" ref="AM530:BF530" si="445">AM523/AM525*100</f>
        <v>63.596987378946068</v>
      </c>
      <c r="AN530" s="630">
        <f t="shared" si="445"/>
        <v>64.411656138035895</v>
      </c>
      <c r="AO530" s="630">
        <f t="shared" si="445"/>
        <v>66.224149925678361</v>
      </c>
      <c r="AP530" s="630">
        <f t="shared" si="445"/>
        <v>69.949292914260326</v>
      </c>
      <c r="AQ530" s="630">
        <f t="shared" si="445"/>
        <v>71.863815073970599</v>
      </c>
      <c r="AR530" s="630">
        <f t="shared" si="445"/>
        <v>71.0702399585671</v>
      </c>
      <c r="AS530" s="630">
        <f t="shared" si="445"/>
        <v>67.757656205211447</v>
      </c>
      <c r="AT530" s="630">
        <f t="shared" si="445"/>
        <v>67.430182926353083</v>
      </c>
      <c r="AU530" s="630">
        <f t="shared" si="445"/>
        <v>68.699831967493694</v>
      </c>
      <c r="AV530" s="630">
        <f t="shared" si="445"/>
        <v>69.723600747796496</v>
      </c>
      <c r="AW530" s="630">
        <f t="shared" si="445"/>
        <v>68.352169412662676</v>
      </c>
      <c r="AX530" s="630">
        <f t="shared" si="445"/>
        <v>65.513938928761675</v>
      </c>
      <c r="AY530" s="630">
        <f t="shared" si="445"/>
        <v>67.366784355161542</v>
      </c>
      <c r="AZ530" s="630">
        <f t="shared" si="445"/>
        <v>68.693388928802833</v>
      </c>
      <c r="BA530" s="630">
        <f t="shared" si="445"/>
        <v>69.993612006193928</v>
      </c>
      <c r="BB530" s="630">
        <f t="shared" si="445"/>
        <v>67.192639447958598</v>
      </c>
      <c r="BC530" s="630">
        <f t="shared" si="445"/>
        <v>67.637100871831251</v>
      </c>
      <c r="BD530" s="630">
        <f t="shared" si="445"/>
        <v>70.50978390502226</v>
      </c>
      <c r="BE530" s="630">
        <f t="shared" si="445"/>
        <v>68.70312838930019</v>
      </c>
      <c r="BF530" s="630">
        <f t="shared" si="445"/>
        <v>67.410726139499644</v>
      </c>
      <c r="BG530" s="1"/>
    </row>
    <row r="531" spans="37:85" ht="15.75" thickBot="1" x14ac:dyDescent="0.3">
      <c r="AK531" s="654" t="s">
        <v>532</v>
      </c>
      <c r="AL531" s="622">
        <f>AL524/AL525*100</f>
        <v>37.639285333071854</v>
      </c>
      <c r="AM531" s="622">
        <f t="shared" ref="AM531:BF531" si="446">AM524/AM525*100</f>
        <v>36.403012621053918</v>
      </c>
      <c r="AN531" s="622">
        <f t="shared" si="446"/>
        <v>35.58834386196412</v>
      </c>
      <c r="AO531" s="622">
        <f t="shared" si="446"/>
        <v>33.775850074321639</v>
      </c>
      <c r="AP531" s="622">
        <f t="shared" si="446"/>
        <v>30.050707085739674</v>
      </c>
      <c r="AQ531" s="622">
        <f t="shared" si="446"/>
        <v>28.136184926029408</v>
      </c>
      <c r="AR531" s="622">
        <f t="shared" si="446"/>
        <v>28.929760041432889</v>
      </c>
      <c r="AS531" s="622">
        <f t="shared" si="446"/>
        <v>32.242343794788546</v>
      </c>
      <c r="AT531" s="622">
        <f t="shared" si="446"/>
        <v>32.569817073646924</v>
      </c>
      <c r="AU531" s="622">
        <f t="shared" si="446"/>
        <v>31.300168032506303</v>
      </c>
      <c r="AV531" s="622">
        <f t="shared" si="446"/>
        <v>30.276399252203497</v>
      </c>
      <c r="AW531" s="622">
        <f t="shared" si="446"/>
        <v>31.647830587337317</v>
      </c>
      <c r="AX531" s="622">
        <f t="shared" si="446"/>
        <v>34.486061071238325</v>
      </c>
      <c r="AY531" s="622">
        <f t="shared" si="446"/>
        <v>32.633215644838458</v>
      </c>
      <c r="AZ531" s="622">
        <f t="shared" si="446"/>
        <v>31.306611071197171</v>
      </c>
      <c r="BA531" s="622">
        <f t="shared" si="446"/>
        <v>30.006387993806072</v>
      </c>
      <c r="BB531" s="622">
        <f t="shared" si="446"/>
        <v>32.807360552041402</v>
      </c>
      <c r="BC531" s="622">
        <f t="shared" si="446"/>
        <v>32.362899128168756</v>
      </c>
      <c r="BD531" s="622">
        <f t="shared" si="446"/>
        <v>29.490216094977743</v>
      </c>
      <c r="BE531" s="622">
        <f t="shared" si="446"/>
        <v>31.296871610699817</v>
      </c>
      <c r="BF531" s="622">
        <f t="shared" si="446"/>
        <v>32.589273860500356</v>
      </c>
      <c r="BG531" s="1"/>
    </row>
    <row r="532" spans="37:85" ht="15.75" thickBot="1" x14ac:dyDescent="0.3">
      <c r="AK532" s="100"/>
      <c r="AL532" s="152"/>
      <c r="AM532" s="152"/>
      <c r="AN532" s="152"/>
      <c r="AO532" s="152"/>
      <c r="AP532" s="152"/>
      <c r="AQ532" s="152"/>
      <c r="AR532" s="152"/>
      <c r="AS532" s="152"/>
      <c r="AT532" s="152"/>
      <c r="AU532" s="152"/>
      <c r="AV532" s="152"/>
      <c r="AW532" s="152"/>
      <c r="AX532" s="152"/>
      <c r="AY532" s="152"/>
      <c r="AZ532" s="152"/>
      <c r="BA532" s="152"/>
      <c r="BB532" s="152"/>
      <c r="BC532" s="1"/>
      <c r="BD532" s="1"/>
      <c r="BE532" s="1"/>
      <c r="BF532" s="1"/>
      <c r="BG532" s="1"/>
    </row>
    <row r="533" spans="37:85" ht="19.5" thickBot="1" x14ac:dyDescent="0.35">
      <c r="AK533" s="1112" t="s">
        <v>533</v>
      </c>
      <c r="AL533" s="1113"/>
      <c r="AM533" s="1113"/>
      <c r="AN533" s="1113"/>
      <c r="AO533" s="1113"/>
      <c r="AP533" s="1113"/>
      <c r="AQ533" s="1113"/>
      <c r="AR533" s="1113"/>
      <c r="AS533" s="1113"/>
      <c r="AT533" s="1113"/>
      <c r="AU533" s="1113"/>
      <c r="AV533" s="1113"/>
      <c r="AW533" s="1113"/>
      <c r="AX533" s="1113"/>
      <c r="AY533" s="1113"/>
      <c r="AZ533" s="1113"/>
      <c r="BA533" s="1113"/>
      <c r="BB533" s="1113"/>
      <c r="BC533" s="1113"/>
      <c r="BD533" s="1113"/>
      <c r="BE533" s="1113"/>
      <c r="BF533" s="1114"/>
      <c r="BG533" s="1"/>
    </row>
    <row r="534" spans="37:85" ht="15.75" thickBot="1" x14ac:dyDescent="0.3">
      <c r="AK534" s="100"/>
      <c r="AL534" s="152"/>
      <c r="AM534" s="152"/>
      <c r="AN534" s="152"/>
      <c r="AO534" s="152"/>
      <c r="AP534" s="152"/>
      <c r="AQ534" s="152"/>
      <c r="AR534" s="152"/>
      <c r="AS534" s="152"/>
      <c r="AT534" s="152"/>
      <c r="AU534" s="152"/>
      <c r="AV534" s="152"/>
      <c r="AW534" s="152"/>
    </row>
    <row r="535" spans="37:85" ht="15.75" thickBot="1" x14ac:dyDescent="0.3">
      <c r="AK535" s="157" t="s">
        <v>493</v>
      </c>
      <c r="AL535" s="34" t="s">
        <v>0</v>
      </c>
      <c r="AM535" s="35" t="s">
        <v>1</v>
      </c>
      <c r="AN535" s="35" t="s">
        <v>2</v>
      </c>
      <c r="AO535" s="35" t="s">
        <v>3</v>
      </c>
      <c r="AP535" s="35" t="s">
        <v>4</v>
      </c>
      <c r="AQ535" s="35" t="s">
        <v>5</v>
      </c>
      <c r="AR535" s="35" t="s">
        <v>6</v>
      </c>
      <c r="AS535" s="35" t="s">
        <v>7</v>
      </c>
      <c r="AT535" s="35" t="s">
        <v>27</v>
      </c>
      <c r="AU535" s="35" t="s">
        <v>9</v>
      </c>
      <c r="AV535" s="35" t="s">
        <v>10</v>
      </c>
      <c r="AW535" s="176" t="s">
        <v>11</v>
      </c>
      <c r="AX535" s="176" t="s">
        <v>12</v>
      </c>
      <c r="AY535" s="369" t="s">
        <v>13</v>
      </c>
      <c r="AZ535" s="176" t="s">
        <v>14</v>
      </c>
      <c r="BA535" s="176" t="s">
        <v>15</v>
      </c>
      <c r="BB535" s="176" t="s">
        <v>16</v>
      </c>
      <c r="BC535" s="176" t="s">
        <v>17</v>
      </c>
      <c r="BD535" s="176" t="s">
        <v>18</v>
      </c>
      <c r="BE535" s="176" t="s">
        <v>19</v>
      </c>
      <c r="BF535" s="176" t="s">
        <v>20</v>
      </c>
    </row>
    <row r="536" spans="37:85" x14ac:dyDescent="0.25">
      <c r="AK536" s="655" t="s">
        <v>497</v>
      </c>
      <c r="AL536" s="644">
        <v>31364.4682294136</v>
      </c>
      <c r="AM536" s="410">
        <v>29334.7917495744</v>
      </c>
      <c r="AN536" s="410">
        <v>34171.752126890504</v>
      </c>
      <c r="AO536" s="410">
        <v>37660.666088791397</v>
      </c>
      <c r="AP536" s="410">
        <v>41140.142770372004</v>
      </c>
      <c r="AQ536" s="410">
        <v>41996.4894526852</v>
      </c>
      <c r="AR536" s="410">
        <v>46769.623705370897</v>
      </c>
      <c r="AS536" s="410">
        <v>45909.137999974591</v>
      </c>
      <c r="AT536" s="410">
        <v>46769</v>
      </c>
      <c r="AU536" s="410">
        <v>47142</v>
      </c>
      <c r="AV536" s="410">
        <v>48726</v>
      </c>
      <c r="AW536" s="645">
        <v>51296</v>
      </c>
      <c r="AX536" s="645">
        <v>52569</v>
      </c>
      <c r="AY536" s="645">
        <f>'[15]2019. I. Állomány adatok_Korr'!N19+'[15]2019. I. Állomány adatok_Korr'!N61</f>
        <v>57194</v>
      </c>
      <c r="AZ536" s="645">
        <v>54690</v>
      </c>
      <c r="BA536" s="645">
        <f>'[15]2019. III. Állomány adatok'!N17+'[15]2019. III. Állomány adatok'!N59</f>
        <v>54031</v>
      </c>
      <c r="BB536" s="645">
        <f>'[15]2019. IV. Állomány adatok'!N17+'[15]2019. IV. Állomány adatok'!N59</f>
        <v>56981</v>
      </c>
      <c r="BC536" s="645">
        <v>60898</v>
      </c>
      <c r="BD536" s="645">
        <v>57301</v>
      </c>
      <c r="BE536" s="645">
        <v>55535</v>
      </c>
      <c r="BF536" s="645">
        <v>53291</v>
      </c>
    </row>
    <row r="537" spans="37:85" x14ac:dyDescent="0.25">
      <c r="AK537" s="20" t="s">
        <v>506</v>
      </c>
      <c r="AL537" s="524">
        <v>136433.62389929319</v>
      </c>
      <c r="AM537" s="304">
        <v>144316.86073847042</v>
      </c>
      <c r="AN537" s="304">
        <v>153697.68261956648</v>
      </c>
      <c r="AO537" s="304">
        <v>154201.4885238508</v>
      </c>
      <c r="AP537" s="304">
        <v>150494.94876165802</v>
      </c>
      <c r="AQ537" s="304">
        <v>156233.1315921426</v>
      </c>
      <c r="AR537" s="304">
        <v>185110.34207353101</v>
      </c>
      <c r="AS537" s="304">
        <v>191230.2476876998</v>
      </c>
      <c r="AT537" s="304">
        <v>192655</v>
      </c>
      <c r="AU537" s="304">
        <v>192825</v>
      </c>
      <c r="AV537" s="304">
        <v>206388</v>
      </c>
      <c r="AW537" s="455">
        <v>206388</v>
      </c>
      <c r="AX537" s="455">
        <v>204109</v>
      </c>
      <c r="AY537" s="455">
        <f>'[15]2019. I. Állomány adatok_Korr'!N34+'[15]2019. I. Állomány adatok_Korr'!N76</f>
        <v>216545</v>
      </c>
      <c r="AZ537" s="455">
        <v>223947</v>
      </c>
      <c r="BA537" s="455">
        <f>'[15]2019. III. Állomány adatok'!N32+'[15]2019. III. Állomány adatok'!N74</f>
        <v>249596</v>
      </c>
      <c r="BB537" s="455">
        <f>'[15]2019. IV. Állomány adatok'!N32+'[15]2019. IV. Állomány adatok'!N74</f>
        <v>216839</v>
      </c>
      <c r="BC537" s="455">
        <v>237495</v>
      </c>
      <c r="BD537" s="455">
        <v>229983</v>
      </c>
      <c r="BE537" s="455">
        <v>248411</v>
      </c>
      <c r="BF537" s="455">
        <v>248261</v>
      </c>
      <c r="BG537" s="152">
        <f>BE536/BE538*100</f>
        <v>18.271337671823286</v>
      </c>
    </row>
    <row r="538" spans="37:85" x14ac:dyDescent="0.25">
      <c r="AK538" s="646" t="s">
        <v>534</v>
      </c>
      <c r="AL538" s="647">
        <f>AL536+AL537</f>
        <v>167798.0921287068</v>
      </c>
      <c r="AM538" s="647">
        <f t="shared" ref="AM538:AY538" si="447">AM536+AM537</f>
        <v>173651.65248804481</v>
      </c>
      <c r="AN538" s="647">
        <f t="shared" si="447"/>
        <v>187869.43474645697</v>
      </c>
      <c r="AO538" s="647">
        <f t="shared" si="447"/>
        <v>191862.15461264219</v>
      </c>
      <c r="AP538" s="647">
        <f t="shared" si="447"/>
        <v>191635.09153203003</v>
      </c>
      <c r="AQ538" s="647">
        <f t="shared" si="447"/>
        <v>198229.6210448278</v>
      </c>
      <c r="AR538" s="647">
        <f t="shared" si="447"/>
        <v>231879.96577890191</v>
      </c>
      <c r="AS538" s="647">
        <f t="shared" si="447"/>
        <v>237139.3856876744</v>
      </c>
      <c r="AT538" s="647">
        <f t="shared" si="447"/>
        <v>239424</v>
      </c>
      <c r="AU538" s="647">
        <f t="shared" si="447"/>
        <v>239967</v>
      </c>
      <c r="AV538" s="647">
        <f t="shared" si="447"/>
        <v>255114</v>
      </c>
      <c r="AW538" s="647">
        <f t="shared" si="447"/>
        <v>257684</v>
      </c>
      <c r="AX538" s="647">
        <f t="shared" si="447"/>
        <v>256678</v>
      </c>
      <c r="AY538" s="647">
        <f t="shared" si="447"/>
        <v>273739</v>
      </c>
      <c r="AZ538" s="647">
        <f>AZ536+AZ537</f>
        <v>278637</v>
      </c>
      <c r="BA538" s="647">
        <f>BA536+BA537</f>
        <v>303627</v>
      </c>
      <c r="BB538" s="647">
        <f>BB536+BB537</f>
        <v>273820</v>
      </c>
      <c r="BC538" s="647">
        <f>BC536+BC537</f>
        <v>298393</v>
      </c>
      <c r="BD538" s="647">
        <f t="shared" ref="BD538:BF538" si="448">BD536+BD537</f>
        <v>287284</v>
      </c>
      <c r="BE538" s="647">
        <f t="shared" si="448"/>
        <v>303946</v>
      </c>
      <c r="BF538" s="647">
        <f t="shared" si="448"/>
        <v>301552</v>
      </c>
      <c r="BG538" s="152">
        <f>BE537/BE538*100</f>
        <v>81.728662328176711</v>
      </c>
    </row>
    <row r="539" spans="37:85" x14ac:dyDescent="0.25">
      <c r="AK539" s="649" t="s">
        <v>139</v>
      </c>
      <c r="AL539" s="650">
        <f>AL525+AL538</f>
        <v>825056.05331170675</v>
      </c>
      <c r="AM539" s="650">
        <f t="shared" ref="AM539:AT539" si="449">AM525+AM538</f>
        <v>848204.67131698679</v>
      </c>
      <c r="AN539" s="650">
        <f t="shared" si="449"/>
        <v>924695.05832445691</v>
      </c>
      <c r="AO539" s="650">
        <f t="shared" si="449"/>
        <v>985514.35667164205</v>
      </c>
      <c r="AP539" s="650">
        <f t="shared" si="449"/>
        <v>997790.18314703007</v>
      </c>
      <c r="AQ539" s="650">
        <f t="shared" si="449"/>
        <v>1005984.6305548279</v>
      </c>
      <c r="AR539" s="650">
        <f t="shared" si="449"/>
        <v>1073237.7531349019</v>
      </c>
      <c r="AS539" s="650">
        <f t="shared" si="449"/>
        <v>1070624.2192326742</v>
      </c>
      <c r="AT539" s="650">
        <f t="shared" si="449"/>
        <v>1030759.5160000001</v>
      </c>
      <c r="AU539" s="650">
        <v>1072544</v>
      </c>
      <c r="AV539" s="650">
        <v>1109892</v>
      </c>
      <c r="AW539" s="650">
        <v>1163376</v>
      </c>
      <c r="AX539" s="637">
        <v>1160339</v>
      </c>
      <c r="AY539" s="650">
        <v>1205011</v>
      </c>
      <c r="AZ539" s="650">
        <v>1233423</v>
      </c>
      <c r="BA539" s="650">
        <v>1292983</v>
      </c>
      <c r="BB539" s="637">
        <v>1273745</v>
      </c>
      <c r="BC539" s="637">
        <v>1292276.71</v>
      </c>
      <c r="BD539" s="637">
        <v>1306049</v>
      </c>
      <c r="BE539" s="637">
        <v>1405757</v>
      </c>
      <c r="BF539" s="637">
        <v>1431391</v>
      </c>
      <c r="BM539" t="s">
        <v>0</v>
      </c>
      <c r="BN539" t="s">
        <v>1</v>
      </c>
      <c r="BO539" t="s">
        <v>2</v>
      </c>
      <c r="BP539" t="s">
        <v>3</v>
      </c>
      <c r="BQ539" t="s">
        <v>4</v>
      </c>
      <c r="BR539" t="s">
        <v>5</v>
      </c>
      <c r="BS539" t="s">
        <v>6</v>
      </c>
      <c r="BT539" t="s">
        <v>7</v>
      </c>
      <c r="BU539" t="s">
        <v>8</v>
      </c>
      <c r="BV539" t="s">
        <v>10</v>
      </c>
      <c r="BW539" t="s">
        <v>11</v>
      </c>
      <c r="BX539" t="s">
        <v>12</v>
      </c>
      <c r="BY539" t="s">
        <v>13</v>
      </c>
      <c r="BZ539" t="s">
        <v>14</v>
      </c>
      <c r="CA539" t="s">
        <v>15</v>
      </c>
      <c r="CB539" t="s">
        <v>16</v>
      </c>
      <c r="CC539" t="s">
        <v>17</v>
      </c>
      <c r="CD539" t="s">
        <v>18</v>
      </c>
      <c r="CE539" t="s">
        <v>19</v>
      </c>
      <c r="CF539" t="s">
        <v>20</v>
      </c>
      <c r="CG539" t="s">
        <v>201</v>
      </c>
    </row>
    <row r="540" spans="37:85" ht="15.75" thickBot="1" x14ac:dyDescent="0.3">
      <c r="AK540" s="651" t="s">
        <v>535</v>
      </c>
      <c r="AL540" s="652">
        <f>AL538/AL539*100</f>
        <v>20.337780864121793</v>
      </c>
      <c r="AM540" s="652">
        <f t="shared" ref="AM540:AY540" si="450">AM538/AM539*100</f>
        <v>20.472847929311698</v>
      </c>
      <c r="AN540" s="652">
        <f t="shared" si="450"/>
        <v>20.316906968971534</v>
      </c>
      <c r="AO540" s="652">
        <f t="shared" si="450"/>
        <v>19.468225228155418</v>
      </c>
      <c r="AP540" s="652">
        <f t="shared" si="450"/>
        <v>19.205950786929272</v>
      </c>
      <c r="AQ540" s="652">
        <f t="shared" si="450"/>
        <v>19.705034751425455</v>
      </c>
      <c r="AR540" s="652">
        <f t="shared" si="450"/>
        <v>21.605647499967837</v>
      </c>
      <c r="AS540" s="652">
        <f t="shared" si="450"/>
        <v>22.149637699923723</v>
      </c>
      <c r="AT540" s="652">
        <f t="shared" si="450"/>
        <v>23.227920410486899</v>
      </c>
      <c r="AU540" s="652">
        <f t="shared" si="450"/>
        <v>22.373627562132651</v>
      </c>
      <c r="AV540" s="652">
        <f t="shared" si="450"/>
        <v>22.985479668292051</v>
      </c>
      <c r="AW540" s="652">
        <f t="shared" si="450"/>
        <v>22.149674739723014</v>
      </c>
      <c r="AX540" s="652">
        <f t="shared" si="450"/>
        <v>22.120949136416169</v>
      </c>
      <c r="AY540" s="652">
        <f t="shared" si="450"/>
        <v>22.716722088014134</v>
      </c>
      <c r="AZ540" s="652">
        <f>AZ538/AZ539*100</f>
        <v>22.590546795381634</v>
      </c>
      <c r="BA540" s="652">
        <f>BA538/BA539*100</f>
        <v>23.482675332931681</v>
      </c>
      <c r="BB540" s="653">
        <f>BB538/BB539*100</f>
        <v>21.497238458247136</v>
      </c>
      <c r="BC540" s="653">
        <f t="shared" ref="BC540:BF540" si="451">BC538/BC539*100</f>
        <v>23.090488104517494</v>
      </c>
      <c r="BD540" s="653">
        <f t="shared" si="451"/>
        <v>21.996418204829986</v>
      </c>
      <c r="BE540" s="653">
        <f t="shared" si="451"/>
        <v>21.621517801440788</v>
      </c>
      <c r="BF540" s="653">
        <f t="shared" si="451"/>
        <v>21.067059943788944</v>
      </c>
      <c r="BL540" t="s">
        <v>498</v>
      </c>
      <c r="BM540" s="27">
        <v>64.453824382896158</v>
      </c>
      <c r="BN540" s="27">
        <v>62.983763325462519</v>
      </c>
      <c r="BO540" s="27">
        <v>63.046487950998163</v>
      </c>
      <c r="BP540" s="27">
        <v>63.482231201458404</v>
      </c>
      <c r="BQ540" s="27">
        <v>61.681769208533964</v>
      </c>
      <c r="BR540" s="27">
        <v>59.261729363558302</v>
      </c>
      <c r="BS540" s="27">
        <v>56.801710691600164</v>
      </c>
      <c r="BT540" s="27">
        <v>58.425070213738493</v>
      </c>
      <c r="BU540" s="27">
        <v>57.224994883895796</v>
      </c>
      <c r="BV540" s="27">
        <v>55.375752264985977</v>
      </c>
      <c r="BW540" s="27">
        <v>57.298008655438927</v>
      </c>
      <c r="BX540" s="27">
        <v>59.339072674486701</v>
      </c>
      <c r="BY540" s="27">
        <v>58.392657109534262</v>
      </c>
      <c r="BZ540" s="27">
        <v>56.127131418727117</v>
      </c>
      <c r="CA540" s="27">
        <v>54.325429212430421</v>
      </c>
      <c r="CB540" s="27">
        <v>60.204849436948514</v>
      </c>
      <c r="CC540" s="27">
        <v>57.525365887438355</v>
      </c>
      <c r="CD540" s="27">
        <v>56.641259080085746</v>
      </c>
      <c r="CE540" s="27">
        <v>58.126673004699583</v>
      </c>
      <c r="CF540" s="27">
        <v>59.728420174964761</v>
      </c>
      <c r="CG540" s="27">
        <v>61.33852293029647</v>
      </c>
    </row>
    <row r="541" spans="37:85" ht="15.75" thickBot="1" x14ac:dyDescent="0.3">
      <c r="AK541" s="629" t="s">
        <v>501</v>
      </c>
      <c r="AL541" s="630">
        <f>AL536/AL539*100</f>
        <v>3.8014954382213451</v>
      </c>
      <c r="AM541" s="630">
        <f t="shared" ref="AM541:BF541" si="452">AM536/AM539*100</f>
        <v>3.458456754786198</v>
      </c>
      <c r="AN541" s="630">
        <f t="shared" si="452"/>
        <v>3.6954617437676758</v>
      </c>
      <c r="AO541" s="630">
        <f t="shared" si="452"/>
        <v>3.8214223703429355</v>
      </c>
      <c r="AP541" s="630">
        <f t="shared" si="452"/>
        <v>4.1231256295402714</v>
      </c>
      <c r="AQ541" s="630">
        <f t="shared" si="452"/>
        <v>4.1746651168540216</v>
      </c>
      <c r="AR541" s="630">
        <f t="shared" si="452"/>
        <v>4.3578064197572202</v>
      </c>
      <c r="AS541" s="630">
        <f t="shared" si="452"/>
        <v>4.2880720588292007</v>
      </c>
      <c r="AT541" s="630">
        <f t="shared" si="452"/>
        <v>4.5373338081314403</v>
      </c>
      <c r="AU541" s="630">
        <f t="shared" si="452"/>
        <v>4.3953441537130411</v>
      </c>
      <c r="AV541" s="630">
        <f t="shared" si="452"/>
        <v>4.3901568801288775</v>
      </c>
      <c r="AW541" s="630">
        <f t="shared" si="452"/>
        <v>4.4092365666817948</v>
      </c>
      <c r="AX541" s="630">
        <f t="shared" si="452"/>
        <v>4.5304863492479353</v>
      </c>
      <c r="AY541" s="630">
        <f t="shared" si="452"/>
        <v>4.7463467138474256</v>
      </c>
      <c r="AZ541" s="630">
        <f t="shared" si="452"/>
        <v>4.4340019603980148</v>
      </c>
      <c r="BA541" s="630">
        <f t="shared" si="452"/>
        <v>4.1787865733733547</v>
      </c>
      <c r="BB541" s="630">
        <f t="shared" si="452"/>
        <v>4.4735013680132214</v>
      </c>
      <c r="BC541" s="630">
        <f t="shared" si="452"/>
        <v>4.7124582164759437</v>
      </c>
      <c r="BD541" s="630">
        <f t="shared" si="452"/>
        <v>4.387354532640046</v>
      </c>
      <c r="BE541" s="630">
        <f t="shared" si="452"/>
        <v>3.9505405272746286</v>
      </c>
      <c r="BF541" s="630">
        <f t="shared" si="452"/>
        <v>3.7230218717317634</v>
      </c>
      <c r="BL541" t="s">
        <v>503</v>
      </c>
      <c r="BM541" s="27">
        <v>35.546175617103842</v>
      </c>
      <c r="BN541" s="27">
        <v>37.016236674537481</v>
      </c>
      <c r="BO541" s="27">
        <v>36.953512049001844</v>
      </c>
      <c r="BP541" s="27">
        <v>36.517768798541596</v>
      </c>
      <c r="BQ541" s="27">
        <v>38.318230791466029</v>
      </c>
      <c r="BR541" s="27">
        <v>40.738270636441705</v>
      </c>
      <c r="BS541" s="27">
        <v>43.198289308399836</v>
      </c>
      <c r="BT541" s="27">
        <v>41.574929786261507</v>
      </c>
      <c r="BU541" s="27">
        <v>42.775005116104204</v>
      </c>
      <c r="BV541" s="27">
        <v>44.624247735014023</v>
      </c>
      <c r="BW541" s="27">
        <v>42.701991344561065</v>
      </c>
      <c r="BX541" s="27">
        <v>40.660927325513299</v>
      </c>
      <c r="BY541" s="27">
        <v>41.607342890465731</v>
      </c>
      <c r="BZ541" s="27">
        <v>43.872868581272876</v>
      </c>
      <c r="CA541" s="27">
        <v>45.674570787569586</v>
      </c>
      <c r="CB541" s="27">
        <v>39.795150563051493</v>
      </c>
      <c r="CC541" s="27">
        <v>42.474698496617975</v>
      </c>
      <c r="CD541" s="27">
        <v>43.358740919914254</v>
      </c>
      <c r="CE541" s="27">
        <v>41.873326995300417</v>
      </c>
      <c r="CF541" s="27">
        <v>40.271579825035239</v>
      </c>
      <c r="CG541" s="27">
        <v>38.661477069703523</v>
      </c>
    </row>
    <row r="542" spans="37:85" ht="15.75" thickBot="1" x14ac:dyDescent="0.3">
      <c r="AK542" s="654" t="s">
        <v>509</v>
      </c>
      <c r="AL542" s="622">
        <f>AL537/AL539*100</f>
        <v>16.536285425900449</v>
      </c>
      <c r="AM542" s="622">
        <f t="shared" ref="AM542:BF542" si="453">AM537/AM539*100</f>
        <v>17.0143911745255</v>
      </c>
      <c r="AN542" s="622">
        <f t="shared" si="453"/>
        <v>16.621445225203857</v>
      </c>
      <c r="AO542" s="622">
        <f t="shared" si="453"/>
        <v>15.646802857812483</v>
      </c>
      <c r="AP542" s="622">
        <f t="shared" si="453"/>
        <v>15.082825157388999</v>
      </c>
      <c r="AQ542" s="622">
        <f t="shared" si="453"/>
        <v>15.530369634571434</v>
      </c>
      <c r="AR542" s="622">
        <f t="shared" si="453"/>
        <v>17.247841080210616</v>
      </c>
      <c r="AS542" s="622">
        <f t="shared" si="453"/>
        <v>17.861565641094518</v>
      </c>
      <c r="AT542" s="622">
        <f t="shared" si="453"/>
        <v>18.690586602355459</v>
      </c>
      <c r="AU542" s="622">
        <f t="shared" si="453"/>
        <v>17.978283408419607</v>
      </c>
      <c r="AV542" s="622">
        <f t="shared" si="453"/>
        <v>18.595322788163173</v>
      </c>
      <c r="AW542" s="622">
        <f t="shared" si="453"/>
        <v>17.740438173041216</v>
      </c>
      <c r="AX542" s="622">
        <f t="shared" si="453"/>
        <v>17.590462787168232</v>
      </c>
      <c r="AY542" s="622">
        <f t="shared" si="453"/>
        <v>17.970375374166707</v>
      </c>
      <c r="AZ542" s="622">
        <f t="shared" si="453"/>
        <v>18.156544834983617</v>
      </c>
      <c r="BA542" s="622">
        <f t="shared" si="453"/>
        <v>19.303888759558323</v>
      </c>
      <c r="BB542" s="622">
        <f t="shared" si="453"/>
        <v>17.023737090233919</v>
      </c>
      <c r="BC542" s="622">
        <f t="shared" si="453"/>
        <v>18.378029888041549</v>
      </c>
      <c r="BD542" s="622">
        <f t="shared" si="453"/>
        <v>17.60906367218994</v>
      </c>
      <c r="BE542" s="622">
        <f t="shared" si="453"/>
        <v>17.670977274166162</v>
      </c>
      <c r="BF542" s="622">
        <f t="shared" si="453"/>
        <v>17.344038072057181</v>
      </c>
    </row>
    <row r="543" spans="37:85" ht="15.75" thickBot="1" x14ac:dyDescent="0.3">
      <c r="AK543" s="629" t="s">
        <v>536</v>
      </c>
      <c r="AL543" s="630">
        <f>AL536/AL538*100</f>
        <v>18.69179072987075</v>
      </c>
      <c r="AM543" s="630">
        <f t="shared" ref="AM543:AZ543" si="454">AM536/AM538*100</f>
        <v>16.892895247048674</v>
      </c>
      <c r="AN543" s="630">
        <f t="shared" si="454"/>
        <v>18.189096152339889</v>
      </c>
      <c r="AO543" s="630">
        <f t="shared" si="454"/>
        <v>19.629022807976877</v>
      </c>
      <c r="AP543" s="630">
        <f t="shared" si="454"/>
        <v>21.46795894294538</v>
      </c>
      <c r="AQ543" s="630">
        <f t="shared" si="454"/>
        <v>21.185779012909521</v>
      </c>
      <c r="AR543" s="630">
        <f t="shared" si="454"/>
        <v>20.16975617029625</v>
      </c>
      <c r="AS543" s="630">
        <f t="shared" si="454"/>
        <v>19.359558458348815</v>
      </c>
      <c r="AT543" s="630">
        <f t="shared" si="454"/>
        <v>19.533964848970864</v>
      </c>
      <c r="AU543" s="630">
        <f t="shared" si="454"/>
        <v>19.645201215167084</v>
      </c>
      <c r="AV543" s="630">
        <f t="shared" si="454"/>
        <v>19.099696606223102</v>
      </c>
      <c r="AW543" s="630">
        <f t="shared" si="454"/>
        <v>19.906552211235468</v>
      </c>
      <c r="AX543" s="630">
        <f t="shared" si="454"/>
        <v>20.480524236592153</v>
      </c>
      <c r="AY543" s="630">
        <f t="shared" si="454"/>
        <v>20.893624949313029</v>
      </c>
      <c r="AZ543" s="630">
        <f t="shared" si="454"/>
        <v>19.627687636602463</v>
      </c>
      <c r="BA543" s="630">
        <f>BA536/BA538*100</f>
        <v>17.795189492370572</v>
      </c>
      <c r="BB543" s="630">
        <f t="shared" ref="BB543:BF543" si="455">BB536/BB538*100</f>
        <v>20.809655978379958</v>
      </c>
      <c r="BC543" s="630">
        <f t="shared" si="455"/>
        <v>20.408655699027793</v>
      </c>
      <c r="BD543" s="630">
        <f t="shared" si="455"/>
        <v>19.945767950877876</v>
      </c>
      <c r="BE543" s="630">
        <f t="shared" si="455"/>
        <v>18.271337671823286</v>
      </c>
      <c r="BF543" s="630">
        <f t="shared" si="455"/>
        <v>17.672242266673742</v>
      </c>
    </row>
    <row r="544" spans="37:85" ht="15.75" thickBot="1" x14ac:dyDescent="0.3">
      <c r="AK544" s="654" t="s">
        <v>537</v>
      </c>
      <c r="AL544" s="622">
        <f>AL537/AL538*100</f>
        <v>81.30820927012924</v>
      </c>
      <c r="AM544" s="622">
        <f t="shared" ref="AM544:AZ544" si="456">AM537/AM538*100</f>
        <v>83.107104752951329</v>
      </c>
      <c r="AN544" s="622">
        <f t="shared" si="456"/>
        <v>81.810903847660114</v>
      </c>
      <c r="AO544" s="622">
        <f t="shared" si="456"/>
        <v>80.370977192023133</v>
      </c>
      <c r="AP544" s="622">
        <f t="shared" si="456"/>
        <v>78.532041057054613</v>
      </c>
      <c r="AQ544" s="622">
        <f t="shared" si="456"/>
        <v>78.814220987090479</v>
      </c>
      <c r="AR544" s="622">
        <f t="shared" si="456"/>
        <v>79.830243829703747</v>
      </c>
      <c r="AS544" s="622">
        <f t="shared" si="456"/>
        <v>80.640441541651171</v>
      </c>
      <c r="AT544" s="622">
        <f t="shared" si="456"/>
        <v>80.466035151029132</v>
      </c>
      <c r="AU544" s="622">
        <f t="shared" si="456"/>
        <v>80.354798784832909</v>
      </c>
      <c r="AV544" s="622">
        <f t="shared" si="456"/>
        <v>80.900303393776895</v>
      </c>
      <c r="AW544" s="622">
        <f t="shared" si="456"/>
        <v>80.093447788764536</v>
      </c>
      <c r="AX544" s="622">
        <f t="shared" si="456"/>
        <v>79.519475763407854</v>
      </c>
      <c r="AY544" s="622">
        <f t="shared" si="456"/>
        <v>79.106375050686978</v>
      </c>
      <c r="AZ544" s="622">
        <f t="shared" si="456"/>
        <v>80.37231236339754</v>
      </c>
      <c r="BA544" s="622">
        <f>BA537/BA538*100</f>
        <v>82.204810507629418</v>
      </c>
      <c r="BB544" s="622">
        <f t="shared" ref="BB544:BF544" si="457">BB537/BB538*100</f>
        <v>79.190344021620035</v>
      </c>
      <c r="BC544" s="622">
        <f t="shared" si="457"/>
        <v>79.59134430097221</v>
      </c>
      <c r="BD544" s="622">
        <f t="shared" si="457"/>
        <v>80.05423204912212</v>
      </c>
      <c r="BE544" s="622">
        <f t="shared" si="457"/>
        <v>81.728662328176711</v>
      </c>
      <c r="BF544" s="622">
        <f t="shared" si="457"/>
        <v>82.327757733326251</v>
      </c>
    </row>
    <row r="545" spans="37:107" ht="15.75" thickBot="1" x14ac:dyDescent="0.3">
      <c r="AK545" s="100"/>
      <c r="AL545" s="152"/>
      <c r="AM545" s="152"/>
      <c r="AN545" s="152"/>
      <c r="AO545" s="152"/>
      <c r="AP545" s="152"/>
      <c r="AQ545" s="152"/>
      <c r="AR545" s="152"/>
      <c r="AS545" s="152"/>
      <c r="AT545" s="152"/>
      <c r="AU545" s="152"/>
      <c r="AV545" s="152"/>
      <c r="AW545" s="152"/>
      <c r="AX545" s="152"/>
      <c r="AY545" s="152"/>
      <c r="AZ545" s="152"/>
      <c r="BA545" s="152"/>
      <c r="BB545" s="152"/>
    </row>
    <row r="546" spans="37:107" ht="15.75" thickBot="1" x14ac:dyDescent="0.3">
      <c r="AK546" s="157"/>
      <c r="AL546" s="34" t="s">
        <v>0</v>
      </c>
      <c r="AM546" s="35" t="s">
        <v>1</v>
      </c>
      <c r="AN546" s="35" t="s">
        <v>2</v>
      </c>
      <c r="AO546" s="35" t="s">
        <v>3</v>
      </c>
      <c r="AP546" s="35" t="s">
        <v>4</v>
      </c>
      <c r="AQ546" s="35" t="s">
        <v>5</v>
      </c>
      <c r="AR546" s="35" t="s">
        <v>6</v>
      </c>
      <c r="AS546" s="35" t="s">
        <v>7</v>
      </c>
      <c r="AT546" s="35" t="s">
        <v>27</v>
      </c>
      <c r="AU546" s="35" t="s">
        <v>9</v>
      </c>
      <c r="AV546" s="35" t="s">
        <v>10</v>
      </c>
      <c r="AW546" s="176" t="s">
        <v>11</v>
      </c>
      <c r="AX546" s="176" t="s">
        <v>12</v>
      </c>
      <c r="AY546" s="369" t="s">
        <v>13</v>
      </c>
      <c r="AZ546" s="176" t="s">
        <v>14</v>
      </c>
      <c r="BA546" s="176" t="s">
        <v>15</v>
      </c>
      <c r="BB546" s="176" t="s">
        <v>16</v>
      </c>
      <c r="BC546" s="176" t="s">
        <v>17</v>
      </c>
      <c r="BD546" s="176" t="s">
        <v>18</v>
      </c>
      <c r="BE546" s="176" t="s">
        <v>19</v>
      </c>
      <c r="BF546" s="176" t="s">
        <v>20</v>
      </c>
      <c r="BG546" s="656" t="s">
        <v>201</v>
      </c>
      <c r="BM546" t="s">
        <v>0</v>
      </c>
      <c r="BO546" t="s">
        <v>1</v>
      </c>
      <c r="BQ546" t="s">
        <v>2</v>
      </c>
      <c r="BS546" t="s">
        <v>3</v>
      </c>
      <c r="BU546" t="s">
        <v>4</v>
      </c>
      <c r="BW546" t="s">
        <v>5</v>
      </c>
      <c r="BY546" t="s">
        <v>6</v>
      </c>
      <c r="CA546" t="s">
        <v>7</v>
      </c>
      <c r="CC546" t="s">
        <v>8</v>
      </c>
      <c r="CE546" t="s">
        <v>10</v>
      </c>
      <c r="CG546" t="s">
        <v>11</v>
      </c>
      <c r="CI546" t="s">
        <v>12</v>
      </c>
      <c r="CK546" t="s">
        <v>13</v>
      </c>
      <c r="CM546" t="s">
        <v>14</v>
      </c>
      <c r="CO546" t="s">
        <v>15</v>
      </c>
      <c r="CQ546" t="s">
        <v>16</v>
      </c>
      <c r="CS546" t="s">
        <v>17</v>
      </c>
      <c r="CU546" t="s">
        <v>18</v>
      </c>
      <c r="CW546" t="s">
        <v>19</v>
      </c>
      <c r="CY546" t="s">
        <v>78</v>
      </c>
      <c r="DA546" t="s">
        <v>201</v>
      </c>
    </row>
    <row r="547" spans="37:107" x14ac:dyDescent="0.25">
      <c r="AK547" s="646" t="s">
        <v>534</v>
      </c>
      <c r="AL547" s="647">
        <v>167798.0921287068</v>
      </c>
      <c r="AM547" s="647">
        <v>173651.65248804481</v>
      </c>
      <c r="AN547" s="647">
        <v>187869.43474645697</v>
      </c>
      <c r="AO547" s="647">
        <v>191862.15461264219</v>
      </c>
      <c r="AP547" s="647">
        <v>191635.09153203003</v>
      </c>
      <c r="AQ547" s="647">
        <v>198229.6210448278</v>
      </c>
      <c r="AR547" s="647">
        <v>231879.96577890191</v>
      </c>
      <c r="AS547" s="647">
        <v>237139.3856876744</v>
      </c>
      <c r="AT547" s="647">
        <v>239424</v>
      </c>
      <c r="AU547" s="647">
        <v>239967</v>
      </c>
      <c r="AV547" s="647">
        <v>255114</v>
      </c>
      <c r="AW547" s="647">
        <v>257684</v>
      </c>
      <c r="AX547" s="647">
        <v>256678</v>
      </c>
      <c r="AY547" s="647">
        <v>273739</v>
      </c>
      <c r="AZ547" s="647">
        <v>278637</v>
      </c>
      <c r="BA547" s="647">
        <v>303627</v>
      </c>
      <c r="BB547" s="657">
        <v>273820</v>
      </c>
      <c r="BC547" s="657">
        <f>'[15]2020. I. Állomány adatok'!N35+'[15]2020. I. Állomány adatok'!N82</f>
        <v>298393</v>
      </c>
      <c r="BD547" s="657">
        <f>'[15]2020. II. Állományi adatok'!N35+'[15]2020. II. Állományi adatok'!N82</f>
        <v>287284</v>
      </c>
      <c r="BE547" s="657">
        <v>303946</v>
      </c>
      <c r="BF547" s="657">
        <v>301552</v>
      </c>
      <c r="BM547" s="84" t="s">
        <v>79</v>
      </c>
      <c r="BN547" s="85" t="s">
        <v>80</v>
      </c>
      <c r="BO547" s="84" t="s">
        <v>79</v>
      </c>
      <c r="BP547" s="85" t="s">
        <v>80</v>
      </c>
      <c r="BQ547" s="84" t="s">
        <v>79</v>
      </c>
      <c r="BR547" s="85" t="s">
        <v>80</v>
      </c>
      <c r="BS547" s="84" t="s">
        <v>79</v>
      </c>
      <c r="BT547" s="85" t="s">
        <v>80</v>
      </c>
      <c r="BU547" s="84" t="s">
        <v>79</v>
      </c>
      <c r="BV547" s="85" t="s">
        <v>80</v>
      </c>
      <c r="BW547" s="84" t="s">
        <v>79</v>
      </c>
      <c r="BX547" s="85" t="s">
        <v>80</v>
      </c>
      <c r="BY547" s="84" t="s">
        <v>79</v>
      </c>
      <c r="BZ547" s="85" t="s">
        <v>80</v>
      </c>
      <c r="CA547" s="84" t="s">
        <v>79</v>
      </c>
      <c r="CB547" s="85" t="s">
        <v>80</v>
      </c>
      <c r="CC547" s="84" t="s">
        <v>79</v>
      </c>
      <c r="CD547" s="85" t="s">
        <v>80</v>
      </c>
      <c r="CE547" s="84" t="s">
        <v>79</v>
      </c>
      <c r="CF547" s="85" t="s">
        <v>80</v>
      </c>
      <c r="CG547" s="84" t="s">
        <v>79</v>
      </c>
      <c r="CH547" s="85" t="s">
        <v>80</v>
      </c>
      <c r="CI547" s="84" t="s">
        <v>79</v>
      </c>
      <c r="CJ547" s="85" t="s">
        <v>80</v>
      </c>
      <c r="CK547" s="84" t="s">
        <v>79</v>
      </c>
      <c r="CL547" s="85" t="s">
        <v>80</v>
      </c>
      <c r="CM547" s="84" t="s">
        <v>79</v>
      </c>
      <c r="CN547" s="85" t="s">
        <v>80</v>
      </c>
      <c r="CO547" s="84" t="s">
        <v>79</v>
      </c>
      <c r="CP547" s="85" t="s">
        <v>80</v>
      </c>
      <c r="CQ547" s="84" t="s">
        <v>79</v>
      </c>
      <c r="CR547" s="85" t="s">
        <v>80</v>
      </c>
      <c r="CS547" s="84" t="s">
        <v>79</v>
      </c>
      <c r="CT547" s="85" t="s">
        <v>80</v>
      </c>
      <c r="CU547" s="84" t="s">
        <v>79</v>
      </c>
      <c r="CV547" s="85" t="s">
        <v>80</v>
      </c>
      <c r="CW547" s="84" t="s">
        <v>79</v>
      </c>
      <c r="CX547" s="85" t="s">
        <v>80</v>
      </c>
      <c r="CY547" s="84" t="s">
        <v>79</v>
      </c>
      <c r="CZ547" s="85" t="s">
        <v>80</v>
      </c>
      <c r="DA547" s="84" t="s">
        <v>79</v>
      </c>
      <c r="DB547" s="85" t="s">
        <v>80</v>
      </c>
    </row>
    <row r="548" spans="37:107" x14ac:dyDescent="0.25">
      <c r="AK548" s="646" t="s">
        <v>529</v>
      </c>
      <c r="AL548" s="647">
        <v>657257.96118299989</v>
      </c>
      <c r="AM548" s="647">
        <v>674553.01882894197</v>
      </c>
      <c r="AN548" s="647">
        <v>736825.623578</v>
      </c>
      <c r="AO548" s="647">
        <v>793652.2020589998</v>
      </c>
      <c r="AP548" s="647">
        <v>806155.09161500004</v>
      </c>
      <c r="AQ548" s="647">
        <v>807755.00951</v>
      </c>
      <c r="AR548" s="647">
        <v>841357.78735600004</v>
      </c>
      <c r="AS548" s="647">
        <v>833484.83354499994</v>
      </c>
      <c r="AT548" s="647">
        <v>791335.51600000006</v>
      </c>
      <c r="AU548" s="647">
        <v>832577</v>
      </c>
      <c r="AV548" s="647">
        <v>854778</v>
      </c>
      <c r="AW548" s="647">
        <v>901373</v>
      </c>
      <c r="AX548" s="647">
        <v>872915</v>
      </c>
      <c r="AY548" s="647">
        <v>931272</v>
      </c>
      <c r="AZ548" s="647">
        <v>907508</v>
      </c>
      <c r="BA548" s="647">
        <v>989356</v>
      </c>
      <c r="BB548" s="648">
        <v>999925</v>
      </c>
      <c r="BC548" s="648">
        <f>'[15]2020. I. Állomány adatok'!I35+'[15]2020. I. Állomány adatok'!I82</f>
        <v>993883</v>
      </c>
      <c r="BD548" s="648">
        <f>'[15]2020. II. Állományi adatok'!I35+'[15]2020. II. Állományi adatok'!I82</f>
        <v>1018765</v>
      </c>
      <c r="BE548" s="648">
        <v>1101813</v>
      </c>
      <c r="BF548" s="648">
        <v>1129838</v>
      </c>
      <c r="BL548" t="s">
        <v>538</v>
      </c>
      <c r="BM548" s="27">
        <v>7.1083327202575974</v>
      </c>
      <c r="BN548" s="27">
        <v>35.546175617103842</v>
      </c>
      <c r="BO548" s="27">
        <v>6.4003620947748088</v>
      </c>
      <c r="BP548" s="27">
        <v>37.016236674537481</v>
      </c>
      <c r="BQ548" s="27">
        <v>6.716498192653245</v>
      </c>
      <c r="BR548" s="27">
        <v>36.953512049001844</v>
      </c>
      <c r="BS548" s="27">
        <v>6.6863133693985155</v>
      </c>
      <c r="BT548" s="27">
        <v>36.517768798541596</v>
      </c>
      <c r="BU548" s="27">
        <v>6.7995748360520736</v>
      </c>
      <c r="BV548" s="27">
        <v>38.318230791466029</v>
      </c>
      <c r="BW548" s="27">
        <v>6.7466401639031215</v>
      </c>
      <c r="BX548" s="27">
        <v>40.738270636441705</v>
      </c>
      <c r="BY548" s="27">
        <v>7.2542015773810089</v>
      </c>
      <c r="BZ548" s="27">
        <v>43.198289308399836</v>
      </c>
      <c r="CA548" s="27">
        <v>7.5179672387643182</v>
      </c>
      <c r="CB548" s="27">
        <v>41.574929786261507</v>
      </c>
      <c r="CC548" s="27">
        <v>8.0585078998482178</v>
      </c>
      <c r="CD548" s="27">
        <v>42.775005116104204</v>
      </c>
      <c r="CE548" s="27">
        <v>8.0285956638703215</v>
      </c>
      <c r="CF548" s="27">
        <v>44.624247735014023</v>
      </c>
      <c r="CG548" s="27">
        <v>8.1426114884870628</v>
      </c>
      <c r="CH548" s="27">
        <v>42.701991344561065</v>
      </c>
      <c r="CI548" s="27">
        <v>8.4384288105431846</v>
      </c>
      <c r="CJ548" s="27">
        <v>40.660927325513299</v>
      </c>
      <c r="CK548" s="27">
        <v>8.3548312643705014</v>
      </c>
      <c r="CL548" s="27">
        <v>41.607342890465731</v>
      </c>
      <c r="CM548" s="27">
        <v>7.6215069477022972</v>
      </c>
      <c r="CN548" s="27">
        <v>43.872868581272876</v>
      </c>
      <c r="CO548" s="27">
        <v>7.237745423078108</v>
      </c>
      <c r="CP548" s="27">
        <v>45.674570787569586</v>
      </c>
      <c r="CQ548" s="27">
        <v>7.8178572751582269</v>
      </c>
      <c r="CR548" s="27">
        <v>39.795150563051493</v>
      </c>
      <c r="CS548" s="27">
        <v>8.3065524605955385</v>
      </c>
      <c r="CT548" s="27">
        <v>42.474698496617975</v>
      </c>
      <c r="CU548" s="27">
        <v>7.3876814817393361</v>
      </c>
      <c r="CV548" s="27">
        <v>43.358740919914254</v>
      </c>
      <c r="CW548" s="27">
        <v>6.8349591514730825</v>
      </c>
      <c r="CX548" s="27">
        <v>41.873326995300417</v>
      </c>
      <c r="CY548" s="27">
        <v>6.5393908381528076</v>
      </c>
      <c r="CZ548" s="27">
        <v>40.271579825035239</v>
      </c>
      <c r="DA548" s="27">
        <v>5.5700094171785546</v>
      </c>
      <c r="DB548" s="27">
        <v>38.661477069703523</v>
      </c>
      <c r="DC548" t="s">
        <v>539</v>
      </c>
    </row>
    <row r="549" spans="37:107" x14ac:dyDescent="0.25">
      <c r="AK549" s="658"/>
      <c r="AL549" s="659"/>
      <c r="AM549" s="659"/>
      <c r="AN549" s="659"/>
      <c r="AO549" s="659"/>
      <c r="AP549" s="659"/>
      <c r="AQ549" s="659"/>
      <c r="AR549" s="659"/>
      <c r="AS549" s="659"/>
      <c r="AT549" s="659"/>
      <c r="AU549" s="659"/>
      <c r="AV549" s="659"/>
      <c r="AW549" s="659"/>
      <c r="AX549" s="659"/>
      <c r="AY549" s="659"/>
      <c r="AZ549" s="659"/>
      <c r="BA549" s="659"/>
      <c r="BB549" s="660"/>
      <c r="BC549" s="660"/>
      <c r="BD549" s="660"/>
      <c r="BE549" s="660"/>
      <c r="BF549" s="660"/>
      <c r="BL549" t="s">
        <v>540</v>
      </c>
      <c r="BM549" s="27">
        <v>92.891505180674287</v>
      </c>
      <c r="BN549" s="27">
        <v>64.453824382896158</v>
      </c>
      <c r="BO549" s="27">
        <v>93.599676706508831</v>
      </c>
      <c r="BP549" s="27">
        <v>62.983763325462519</v>
      </c>
      <c r="BQ549" s="27">
        <v>93.283380635802942</v>
      </c>
      <c r="BR549" s="27">
        <v>63.046487950998163</v>
      </c>
      <c r="BS549" s="27">
        <v>93.313701585441606</v>
      </c>
      <c r="BT549" s="27">
        <v>63.482231201458404</v>
      </c>
      <c r="BU549" s="27">
        <v>93.200414249801682</v>
      </c>
      <c r="BV549" s="27">
        <v>61.681769208533964</v>
      </c>
      <c r="BW549" s="27">
        <v>93.253368186126451</v>
      </c>
      <c r="BX549" s="27">
        <v>59.261729363558302</v>
      </c>
      <c r="BY549" s="27">
        <v>92.745887912346987</v>
      </c>
      <c r="BZ549" s="27">
        <v>56.801710691600164</v>
      </c>
      <c r="CA549" s="27">
        <v>92.482021559659316</v>
      </c>
      <c r="CB549" s="27">
        <v>58.425070213738493</v>
      </c>
      <c r="CC549" s="27">
        <v>91.941489882281587</v>
      </c>
      <c r="CD549" s="27">
        <v>57.224994883895796</v>
      </c>
      <c r="CE549" s="27">
        <v>91.971474162492626</v>
      </c>
      <c r="CF549" s="27">
        <v>55.375752264985977</v>
      </c>
      <c r="CG549" s="27">
        <v>91.857373822016314</v>
      </c>
      <c r="CH549" s="27">
        <v>57.298008655438927</v>
      </c>
      <c r="CI549" s="27">
        <v>91.561571189456799</v>
      </c>
      <c r="CJ549" s="27">
        <v>59.339072674486701</v>
      </c>
      <c r="CK549" s="27">
        <v>91.645168735629497</v>
      </c>
      <c r="CL549" s="27">
        <v>58.392657109534262</v>
      </c>
      <c r="CM549" s="27">
        <v>92.378493052297699</v>
      </c>
      <c r="CN549" s="27">
        <v>56.127131418727117</v>
      </c>
      <c r="CO549" s="27">
        <v>92.76225457692189</v>
      </c>
      <c r="CP549" s="27">
        <v>54.325429212430421</v>
      </c>
      <c r="CQ549" s="27">
        <v>92.182142724841782</v>
      </c>
      <c r="CR549" s="27">
        <v>60.204849436948514</v>
      </c>
      <c r="CS549" s="27">
        <v>91.693574392401089</v>
      </c>
      <c r="CT549" s="27">
        <v>57.525365887438355</v>
      </c>
      <c r="CU549" s="27">
        <v>92.612447445879411</v>
      </c>
      <c r="CV549" s="27">
        <v>56.641259080085746</v>
      </c>
      <c r="CW549" s="27">
        <v>93.165163923329317</v>
      </c>
      <c r="CX549" s="27">
        <v>58.126673004699583</v>
      </c>
      <c r="CY549" s="27">
        <v>93.460609161847202</v>
      </c>
      <c r="CZ549" s="27">
        <v>59.728420174964761</v>
      </c>
      <c r="DA549" s="27">
        <v>94.429990582821446</v>
      </c>
      <c r="DB549" s="27">
        <v>61.33852293029647</v>
      </c>
      <c r="DC549" t="s">
        <v>541</v>
      </c>
    </row>
    <row r="550" spans="37:107" ht="15.75" thickBot="1" x14ac:dyDescent="0.3">
      <c r="AK550" s="651" t="s">
        <v>535</v>
      </c>
      <c r="AL550" s="652">
        <v>20.337780864121793</v>
      </c>
      <c r="AM550" s="652">
        <v>20.472847929311698</v>
      </c>
      <c r="AN550" s="652">
        <v>20.316906968971534</v>
      </c>
      <c r="AO550" s="652">
        <v>19.468225228155418</v>
      </c>
      <c r="AP550" s="652">
        <v>19.205950786929272</v>
      </c>
      <c r="AQ550" s="652">
        <v>19.705034751425455</v>
      </c>
      <c r="AR550" s="652">
        <v>21.605647499967837</v>
      </c>
      <c r="AS550" s="652">
        <v>22.149637699923723</v>
      </c>
      <c r="AT550" s="652">
        <v>23.227920410486899</v>
      </c>
      <c r="AU550" s="652">
        <v>23.921550827144394</v>
      </c>
      <c r="AV550" s="652">
        <v>23.382076918146915</v>
      </c>
      <c r="AW550" s="652">
        <v>22.816857720729448</v>
      </c>
      <c r="AX550" s="652">
        <v>23.542171727400355</v>
      </c>
      <c r="AY550" s="652">
        <v>22.716722088014134</v>
      </c>
      <c r="AZ550" s="652">
        <v>22.590546795381634</v>
      </c>
      <c r="BA550" s="652">
        <v>23.482675332931681</v>
      </c>
      <c r="BB550" s="653">
        <v>21.57162211124939</v>
      </c>
      <c r="BC550" s="653">
        <v>21.57162211124939</v>
      </c>
      <c r="BD550" s="653">
        <v>21.57162211124939</v>
      </c>
      <c r="BE550" s="653">
        <v>21.57162211124939</v>
      </c>
      <c r="BF550" s="653">
        <f>BF547/BF553*100</f>
        <v>21.067059943788944</v>
      </c>
    </row>
    <row r="551" spans="37:107" ht="15.75" thickBot="1" x14ac:dyDescent="0.3">
      <c r="AK551" s="651" t="s">
        <v>530</v>
      </c>
      <c r="AL551" s="652">
        <v>79.662219135878203</v>
      </c>
      <c r="AM551" s="652">
        <v>79.527152070688302</v>
      </c>
      <c r="AN551" s="652">
        <v>79.683093031028477</v>
      </c>
      <c r="AO551" s="652">
        <v>80.531774771844582</v>
      </c>
      <c r="AP551" s="652">
        <v>80.794049213070736</v>
      </c>
      <c r="AQ551" s="652">
        <v>80.294965248574528</v>
      </c>
      <c r="AR551" s="652">
        <v>78.39435250003217</v>
      </c>
      <c r="AS551" s="652">
        <v>77.850362300076299</v>
      </c>
      <c r="AT551" s="652">
        <v>76.772079589513098</v>
      </c>
      <c r="AU551" s="652">
        <v>76.078449172855599</v>
      </c>
      <c r="AV551" s="652">
        <v>76.617923081853078</v>
      </c>
      <c r="AW551" s="652">
        <v>77.183142279270555</v>
      </c>
      <c r="AX551" s="661">
        <v>76.457828272599642</v>
      </c>
      <c r="AY551" s="661">
        <v>77.283277911985877</v>
      </c>
      <c r="AZ551" s="661">
        <v>73.576380528010262</v>
      </c>
      <c r="BA551" s="661">
        <v>76.517324667068323</v>
      </c>
      <c r="BB551" s="662">
        <v>78.428377888750617</v>
      </c>
      <c r="BC551" s="662">
        <v>78.428377888750617</v>
      </c>
      <c r="BD551" s="662">
        <v>78.428377888750617</v>
      </c>
      <c r="BE551" s="662">
        <v>78.428377888750617</v>
      </c>
      <c r="BF551" s="662">
        <f>BF548/BF553*100</f>
        <v>78.932870194097902</v>
      </c>
      <c r="BM551" t="s">
        <v>0</v>
      </c>
      <c r="BN551" t="s">
        <v>1</v>
      </c>
      <c r="BO551" t="s">
        <v>2</v>
      </c>
      <c r="BP551" t="s">
        <v>3</v>
      </c>
      <c r="BQ551" t="s">
        <v>4</v>
      </c>
      <c r="BR551" t="s">
        <v>5</v>
      </c>
      <c r="BS551" t="s">
        <v>6</v>
      </c>
      <c r="BT551" t="s">
        <v>7</v>
      </c>
      <c r="BU551" t="s">
        <v>8</v>
      </c>
      <c r="BV551" t="s">
        <v>10</v>
      </c>
      <c r="BW551" t="s">
        <v>11</v>
      </c>
      <c r="BX551" t="s">
        <v>12</v>
      </c>
      <c r="BY551" t="s">
        <v>13</v>
      </c>
      <c r="BZ551" t="s">
        <v>14</v>
      </c>
      <c r="CA551" t="s">
        <v>15</v>
      </c>
      <c r="CB551" t="s">
        <v>16</v>
      </c>
      <c r="CC551" t="s">
        <v>17</v>
      </c>
      <c r="CD551" t="s">
        <v>18</v>
      </c>
      <c r="CE551" t="s">
        <v>19</v>
      </c>
      <c r="CF551" t="s">
        <v>20</v>
      </c>
      <c r="CG551" t="s">
        <v>202</v>
      </c>
      <c r="CZ551" s="27"/>
    </row>
    <row r="552" spans="37:107" x14ac:dyDescent="0.25">
      <c r="AK552" s="100"/>
      <c r="AL552" s="152"/>
      <c r="AM552" s="152"/>
      <c r="AN552" s="152"/>
      <c r="AO552" s="152"/>
      <c r="AP552" s="152"/>
      <c r="AQ552" s="152"/>
      <c r="AR552" s="152"/>
      <c r="AS552" s="152"/>
      <c r="AT552" s="152"/>
      <c r="AU552" s="152"/>
      <c r="AV552" s="152"/>
      <c r="AW552" s="152"/>
      <c r="AX552" s="152"/>
      <c r="AY552" s="152"/>
      <c r="AZ552" s="152"/>
      <c r="BH552" t="s">
        <v>542</v>
      </c>
      <c r="BL552" t="s">
        <v>496</v>
      </c>
      <c r="BM552" s="27">
        <v>92.891505180674287</v>
      </c>
      <c r="BN552" s="27">
        <v>93.599676706508831</v>
      </c>
      <c r="BO552" s="27">
        <v>93.283380635802942</v>
      </c>
      <c r="BP552" s="27">
        <v>93.313701585441606</v>
      </c>
      <c r="BQ552" s="27">
        <v>93.200414249801682</v>
      </c>
      <c r="BR552" s="27">
        <v>93.253368186126451</v>
      </c>
      <c r="BS552" s="27">
        <v>92.745887912346987</v>
      </c>
      <c r="BT552" s="27">
        <v>92.482021559659316</v>
      </c>
      <c r="BU552" s="27">
        <v>91.941489882281587</v>
      </c>
      <c r="BV552" s="27">
        <v>91.971474162492626</v>
      </c>
      <c r="BW552" s="27">
        <v>91.857373822016314</v>
      </c>
      <c r="BX552" s="27">
        <v>91.561571189456799</v>
      </c>
      <c r="BY552" s="27">
        <v>91.645168735629497</v>
      </c>
      <c r="BZ552" s="27">
        <v>92.378493052297699</v>
      </c>
      <c r="CA552" s="27">
        <v>92.76225457692189</v>
      </c>
      <c r="CB552" s="27">
        <v>92.182142724841782</v>
      </c>
      <c r="CC552" s="27">
        <v>91.693574392401089</v>
      </c>
      <c r="CD552" s="27">
        <v>92.612447445879411</v>
      </c>
      <c r="CE552" s="27">
        <v>93.165163923329317</v>
      </c>
      <c r="CF552" s="27">
        <v>93.460609161847202</v>
      </c>
      <c r="CG552" s="27">
        <v>94.429990582821446</v>
      </c>
    </row>
    <row r="553" spans="37:107" x14ac:dyDescent="0.25">
      <c r="AK553" s="649" t="s">
        <v>139</v>
      </c>
      <c r="AL553" s="650">
        <v>825056.05331170675</v>
      </c>
      <c r="AM553" s="650">
        <v>848204.67131698679</v>
      </c>
      <c r="AN553" s="650">
        <v>924695.05832445691</v>
      </c>
      <c r="AO553" s="650">
        <v>985514.35667164205</v>
      </c>
      <c r="AP553" s="650">
        <v>997790.18314703007</v>
      </c>
      <c r="AQ553" s="650">
        <v>1005984.6305548279</v>
      </c>
      <c r="AR553" s="650">
        <v>1073237.7531349019</v>
      </c>
      <c r="AS553" s="650">
        <v>1070624.2192326742</v>
      </c>
      <c r="AT553" s="650">
        <v>1030759.5160000001</v>
      </c>
      <c r="AU553" s="650">
        <v>1072544</v>
      </c>
      <c r="AV553" s="650">
        <v>1109892</v>
      </c>
      <c r="AW553" s="650">
        <v>1163376</v>
      </c>
      <c r="AX553" s="650">
        <v>1160339</v>
      </c>
      <c r="AY553" s="650">
        <v>1205011</v>
      </c>
      <c r="AZ553" s="650">
        <v>1233423</v>
      </c>
      <c r="BA553" s="650">
        <v>1292983</v>
      </c>
      <c r="BB553" s="650">
        <v>1273745</v>
      </c>
      <c r="BC553" s="637">
        <v>1292276.71</v>
      </c>
      <c r="BD553" s="637">
        <v>1306049</v>
      </c>
      <c r="BE553" s="637">
        <v>1405757</v>
      </c>
      <c r="BF553" s="637">
        <v>1431391</v>
      </c>
      <c r="BL553" t="s">
        <v>500</v>
      </c>
      <c r="BM553" s="27">
        <v>7.1083327202575974</v>
      </c>
      <c r="BN553" s="27">
        <v>6.4003620947748088</v>
      </c>
      <c r="BO553" s="27">
        <v>6.716498192653245</v>
      </c>
      <c r="BP553" s="27">
        <v>6.6863133693985155</v>
      </c>
      <c r="BQ553" s="27">
        <v>6.7995748360520736</v>
      </c>
      <c r="BR553" s="27">
        <v>6.7466401639031215</v>
      </c>
      <c r="BS553" s="27">
        <v>7.2542015773810089</v>
      </c>
      <c r="BT553" s="27">
        <v>7.5179672387643182</v>
      </c>
      <c r="BU553" s="27">
        <v>8.0585078998482178</v>
      </c>
      <c r="BV553" s="27">
        <v>8.0285956638703215</v>
      </c>
      <c r="BW553" s="27">
        <v>8.1426114884870628</v>
      </c>
      <c r="BX553" s="27">
        <v>8.4384288105431846</v>
      </c>
      <c r="BY553" s="27">
        <v>8.3548312643705014</v>
      </c>
      <c r="BZ553" s="27">
        <v>7.6215069477022972</v>
      </c>
      <c r="CA553" s="27">
        <v>7.237745423078108</v>
      </c>
      <c r="CB553" s="27">
        <v>7.8178572751582269</v>
      </c>
      <c r="CC553" s="27">
        <v>8.3065524605955385</v>
      </c>
      <c r="CD553" s="27">
        <v>7.3876814817393361</v>
      </c>
      <c r="CE553" s="27">
        <v>6.8349591514730825</v>
      </c>
      <c r="CF553" s="27">
        <v>6.5393908381528076</v>
      </c>
      <c r="CG553" s="27">
        <v>5.5700094171785546</v>
      </c>
    </row>
    <row r="554" spans="37:107" x14ac:dyDescent="0.25">
      <c r="AK554" s="100"/>
      <c r="AL554" s="152"/>
      <c r="AM554" s="152"/>
      <c r="AN554" s="152"/>
      <c r="AO554" s="152"/>
      <c r="AP554" s="152"/>
      <c r="AQ554" s="152"/>
      <c r="AR554" s="152"/>
      <c r="AS554" s="152"/>
      <c r="AT554" s="152"/>
      <c r="AU554" s="152"/>
      <c r="AV554" s="152"/>
      <c r="AW554" s="152"/>
      <c r="BB554" s="1"/>
    </row>
    <row r="555" spans="37:107" x14ac:dyDescent="0.25">
      <c r="AK555" s="100"/>
      <c r="AL555" s="152"/>
      <c r="AM555" s="152"/>
      <c r="AN555" s="152"/>
      <c r="AO555" s="152"/>
      <c r="AP555" s="152"/>
      <c r="AQ555" s="152"/>
      <c r="AR555" s="152"/>
      <c r="AS555" s="152"/>
      <c r="AT555" s="152"/>
      <c r="AU555" s="152"/>
      <c r="AV555" s="152"/>
      <c r="AW555" s="152"/>
      <c r="BB555" s="1"/>
      <c r="BC555" s="1"/>
      <c r="BD555" s="1"/>
    </row>
    <row r="556" spans="37:107" x14ac:dyDescent="0.25">
      <c r="AK556" s="100"/>
      <c r="AL556" s="152"/>
      <c r="AM556" s="152"/>
      <c r="AN556" s="152"/>
      <c r="AO556" s="152"/>
      <c r="AP556" s="152"/>
      <c r="AQ556" s="152"/>
      <c r="AR556" s="152"/>
      <c r="AS556" s="152"/>
      <c r="AT556" s="152"/>
      <c r="AU556" s="152"/>
      <c r="AV556" s="152"/>
      <c r="AW556" s="152"/>
      <c r="BB556" s="1"/>
    </row>
    <row r="557" spans="37:107" x14ac:dyDescent="0.25">
      <c r="AK557" s="100"/>
      <c r="AL557" s="152"/>
      <c r="AM557" s="152"/>
      <c r="AN557" s="152"/>
      <c r="AO557" s="152"/>
      <c r="AP557" s="152"/>
      <c r="AQ557" s="152"/>
      <c r="AR557" s="152"/>
      <c r="AS557" s="152"/>
      <c r="AT557" s="152"/>
      <c r="AU557" s="152"/>
      <c r="AV557" s="152"/>
    </row>
    <row r="558" spans="37:107" x14ac:dyDescent="0.25">
      <c r="AK558" s="100"/>
      <c r="AL558" s="152"/>
      <c r="AM558" s="152"/>
      <c r="AN558" s="152"/>
      <c r="AO558" s="152"/>
      <c r="AP558" s="152"/>
      <c r="AQ558" s="152"/>
      <c r="AR558" s="152"/>
      <c r="AS558" s="152"/>
      <c r="AT558" s="152"/>
      <c r="AU558" s="152"/>
      <c r="AV558" s="152"/>
      <c r="AZ558" s="27"/>
      <c r="BA558" s="27"/>
      <c r="BB558" s="27"/>
    </row>
    <row r="559" spans="37:107" x14ac:dyDescent="0.25">
      <c r="AK559" s="100"/>
      <c r="AL559" s="152"/>
      <c r="AM559" s="152"/>
      <c r="AN559" s="152"/>
      <c r="AO559" s="152"/>
      <c r="AP559" s="152"/>
      <c r="AQ559" s="152"/>
      <c r="AR559" s="152"/>
      <c r="AS559" s="152"/>
      <c r="AT559" s="152"/>
      <c r="AU559" s="152"/>
      <c r="AV559" s="152"/>
      <c r="AZ559" s="27"/>
      <c r="BA559" s="27"/>
      <c r="BB559" s="27"/>
    </row>
    <row r="560" spans="37:107" x14ac:dyDescent="0.25">
      <c r="AK560" s="100"/>
      <c r="AL560" s="152"/>
      <c r="AM560" s="152"/>
      <c r="AN560" s="152"/>
      <c r="AO560" s="152"/>
      <c r="AP560" s="152"/>
      <c r="AQ560" s="152"/>
      <c r="AR560" s="152"/>
      <c r="AS560" s="152"/>
      <c r="AT560" s="152"/>
      <c r="AU560" s="152"/>
      <c r="AV560" s="152"/>
    </row>
    <row r="561" spans="37:54" x14ac:dyDescent="0.25">
      <c r="AK561" s="100"/>
      <c r="AL561" s="152"/>
      <c r="AM561" s="152"/>
      <c r="AN561" s="152"/>
      <c r="AO561" s="152"/>
      <c r="AP561" s="152"/>
      <c r="AQ561" s="152"/>
      <c r="AR561" s="152"/>
      <c r="AS561" s="152"/>
      <c r="AT561" s="152"/>
      <c r="AU561" s="152"/>
      <c r="AV561" s="152"/>
    </row>
    <row r="562" spans="37:54" x14ac:dyDescent="0.25">
      <c r="AK562" s="100"/>
      <c r="AL562" s="152"/>
      <c r="AM562" s="152"/>
      <c r="AN562" s="152"/>
      <c r="AO562" s="152"/>
      <c r="AP562" s="152"/>
      <c r="AQ562" s="152"/>
      <c r="AR562" s="152"/>
      <c r="AS562" s="152"/>
      <c r="AT562" s="152"/>
      <c r="AU562" s="152"/>
      <c r="AV562" s="152"/>
    </row>
    <row r="563" spans="37:54" x14ac:dyDescent="0.25">
      <c r="AK563" s="100"/>
      <c r="AL563" s="152"/>
      <c r="AM563" s="152"/>
      <c r="AN563" s="152"/>
      <c r="AO563" s="152"/>
      <c r="AP563" s="152"/>
      <c r="AQ563" s="152"/>
      <c r="AR563" s="152"/>
      <c r="AS563" s="152"/>
      <c r="AT563" s="152"/>
      <c r="AU563" s="152"/>
      <c r="AV563" s="152"/>
      <c r="AZ563" s="84"/>
      <c r="BA563" s="84"/>
      <c r="BB563" s="85"/>
    </row>
    <row r="564" spans="37:54" x14ac:dyDescent="0.25">
      <c r="AK564" s="100"/>
      <c r="AL564" s="152"/>
      <c r="AM564" s="152"/>
      <c r="AN564" s="152"/>
      <c r="AO564" s="152"/>
      <c r="AP564" s="152"/>
      <c r="AQ564" s="152"/>
      <c r="AR564" s="152"/>
      <c r="AS564" s="152"/>
      <c r="AT564" s="152"/>
      <c r="AU564" s="152"/>
      <c r="AV564" s="152"/>
      <c r="AZ564" s="27"/>
      <c r="BA564" s="27"/>
      <c r="BB564" s="27"/>
    </row>
    <row r="565" spans="37:54" x14ac:dyDescent="0.25">
      <c r="AK565" s="100"/>
      <c r="AL565" s="152"/>
      <c r="AM565" s="152"/>
      <c r="AN565" s="152"/>
      <c r="AO565" s="152"/>
      <c r="AP565" s="152"/>
      <c r="AQ565" s="152"/>
      <c r="AR565" s="152"/>
      <c r="AS565" s="152"/>
      <c r="AT565" s="152"/>
      <c r="AU565" s="152"/>
      <c r="AV565" s="152"/>
      <c r="AZ565" s="27"/>
      <c r="BA565" s="27"/>
      <c r="BB565" s="27"/>
    </row>
    <row r="566" spans="37:54" x14ac:dyDescent="0.25">
      <c r="AK566" s="100"/>
      <c r="AL566" s="152"/>
      <c r="AM566" s="152"/>
      <c r="AN566" s="152"/>
      <c r="AO566" s="152"/>
      <c r="AP566" s="152"/>
      <c r="AQ566" s="152"/>
      <c r="AR566" s="152"/>
      <c r="AS566" s="152"/>
      <c r="AT566" s="152"/>
      <c r="AU566" s="152"/>
      <c r="AV566" s="152"/>
    </row>
    <row r="567" spans="37:54" x14ac:dyDescent="0.25">
      <c r="AK567" s="100"/>
      <c r="AL567" s="152"/>
      <c r="AM567" s="152"/>
      <c r="AN567" s="152"/>
      <c r="AO567" s="152"/>
      <c r="AP567" s="152"/>
      <c r="AQ567" s="152"/>
      <c r="AR567" s="152"/>
      <c r="AS567" s="152"/>
      <c r="AT567" s="152"/>
      <c r="AU567" s="152"/>
      <c r="AV567" s="152"/>
      <c r="AZ567" s="27"/>
      <c r="BA567" s="27"/>
      <c r="BB567" s="27"/>
    </row>
    <row r="568" spans="37:54" x14ac:dyDescent="0.25">
      <c r="AK568" s="100"/>
      <c r="AL568" s="152"/>
      <c r="AM568" s="152"/>
      <c r="AN568" s="152"/>
      <c r="AO568" s="152"/>
      <c r="AP568" s="152"/>
      <c r="AQ568" s="152"/>
      <c r="AR568" s="152"/>
      <c r="AS568" s="152"/>
      <c r="AT568" s="152"/>
      <c r="AU568" s="152"/>
      <c r="AV568" s="152"/>
      <c r="AZ568" s="27"/>
      <c r="BA568" s="27"/>
      <c r="BB568" s="27"/>
    </row>
    <row r="569" spans="37:54" x14ac:dyDescent="0.25">
      <c r="AK569" s="100"/>
      <c r="AL569" s="152"/>
      <c r="AM569" s="152"/>
      <c r="AN569" s="152"/>
      <c r="AO569" s="152"/>
      <c r="AP569" s="152"/>
      <c r="AQ569" s="152"/>
      <c r="AR569" s="152"/>
      <c r="AS569" s="152"/>
      <c r="AT569" s="152"/>
      <c r="AU569" s="152"/>
      <c r="AV569" s="152"/>
      <c r="AW569" s="152"/>
    </row>
    <row r="570" spans="37:54" x14ac:dyDescent="0.25">
      <c r="AK570" s="100"/>
      <c r="AL570" s="152"/>
      <c r="AM570" s="152"/>
      <c r="AN570" s="152"/>
      <c r="AO570" s="152"/>
      <c r="AP570" s="152"/>
      <c r="AQ570" s="152"/>
      <c r="AR570" s="152"/>
      <c r="AS570" s="152"/>
      <c r="AT570" s="152"/>
      <c r="AU570" s="152"/>
      <c r="AV570" s="152"/>
      <c r="AW570" s="152"/>
    </row>
    <row r="571" spans="37:54" x14ac:dyDescent="0.25">
      <c r="AK571" s="100"/>
      <c r="AL571" s="152"/>
      <c r="AM571" s="152"/>
      <c r="AN571" s="152"/>
      <c r="AO571" s="152"/>
      <c r="AP571" s="152"/>
      <c r="AQ571" s="152"/>
      <c r="AR571" s="152"/>
      <c r="AS571" s="152"/>
      <c r="AT571" s="152"/>
      <c r="AU571" s="152"/>
      <c r="AV571" s="152"/>
      <c r="AW571" s="152"/>
    </row>
    <row r="572" spans="37:54" x14ac:dyDescent="0.25">
      <c r="AK572" s="100"/>
      <c r="AL572" s="152"/>
      <c r="AM572" s="152"/>
      <c r="AN572" s="152"/>
      <c r="AO572" s="152"/>
      <c r="AP572" s="152"/>
      <c r="AQ572" s="152"/>
      <c r="AR572" s="152"/>
      <c r="AS572" s="152"/>
      <c r="AT572" s="152"/>
      <c r="AU572" s="152"/>
      <c r="AV572" s="152"/>
      <c r="AW572" s="152"/>
    </row>
    <row r="573" spans="37:54" x14ac:dyDescent="0.25">
      <c r="AK573" s="100"/>
      <c r="AL573" s="152"/>
      <c r="AM573" s="152"/>
      <c r="AN573" s="152"/>
      <c r="AO573" s="152"/>
      <c r="AP573" s="152"/>
      <c r="AQ573" s="152"/>
      <c r="AR573" s="152"/>
      <c r="AS573" s="152"/>
      <c r="AT573" s="152"/>
      <c r="AU573" s="152"/>
      <c r="AV573" s="152"/>
      <c r="AW573" s="152"/>
    </row>
    <row r="574" spans="37:54" x14ac:dyDescent="0.25">
      <c r="AK574" s="100"/>
      <c r="AL574" s="152"/>
      <c r="AM574" s="152"/>
      <c r="AN574" s="152"/>
      <c r="AO574" s="152"/>
      <c r="AP574" s="152"/>
      <c r="AQ574" s="152"/>
      <c r="AR574" s="152"/>
      <c r="AS574" s="152"/>
      <c r="AT574" s="152"/>
      <c r="AU574" s="152"/>
      <c r="AV574" s="152"/>
      <c r="AW574" s="152"/>
    </row>
    <row r="575" spans="37:54" x14ac:dyDescent="0.25">
      <c r="AK575" s="100"/>
      <c r="AL575" s="152"/>
      <c r="AM575" s="152"/>
      <c r="AN575" s="152"/>
      <c r="AO575" s="152"/>
      <c r="AP575" s="152"/>
      <c r="AQ575" s="152"/>
      <c r="AR575" s="152"/>
      <c r="AS575" s="152"/>
      <c r="AT575" s="152"/>
      <c r="AU575" s="152"/>
      <c r="AV575" s="152"/>
      <c r="AW575" s="152"/>
    </row>
    <row r="576" spans="37:54" ht="15.75" thickBot="1" x14ac:dyDescent="0.3">
      <c r="AK576" s="100"/>
      <c r="AL576" s="152"/>
      <c r="AM576" s="152"/>
      <c r="AN576" s="152"/>
      <c r="AO576" s="152"/>
      <c r="AP576" s="152"/>
      <c r="AQ576" s="152"/>
      <c r="AR576" s="152"/>
      <c r="AS576" s="152"/>
      <c r="AT576" s="152"/>
      <c r="AU576" s="152"/>
      <c r="AV576" s="152"/>
      <c r="AW576" s="152"/>
    </row>
    <row r="577" spans="37:60" ht="19.5" thickBot="1" x14ac:dyDescent="0.35">
      <c r="AK577" s="1112" t="s">
        <v>543</v>
      </c>
      <c r="AL577" s="1113"/>
      <c r="AM577" s="1113"/>
      <c r="AN577" s="1113"/>
      <c r="AO577" s="1113"/>
      <c r="AP577" s="1113"/>
      <c r="AQ577" s="1113"/>
      <c r="AR577" s="1113"/>
      <c r="AS577" s="1113"/>
      <c r="AT577" s="1113"/>
      <c r="AU577" s="1113"/>
      <c r="AV577" s="1113"/>
      <c r="AW577" s="1113"/>
      <c r="AX577" s="1113"/>
      <c r="AY577" s="1113"/>
      <c r="AZ577" s="1113"/>
      <c r="BA577" s="1113"/>
      <c r="BB577" s="1113"/>
      <c r="BC577" s="1113"/>
      <c r="BD577" s="1113"/>
      <c r="BE577" s="1113"/>
      <c r="BF577" s="1113"/>
      <c r="BG577" s="1114"/>
    </row>
    <row r="578" spans="37:60" ht="15.75" thickBot="1" x14ac:dyDescent="0.3">
      <c r="AT578" s="1"/>
      <c r="AU578" s="1"/>
      <c r="AV578" s="1"/>
      <c r="AW578" s="1"/>
      <c r="AY578" s="152"/>
      <c r="AZ578" s="152"/>
      <c r="BA578" s="152"/>
    </row>
    <row r="579" spans="37:60" ht="15.75" thickBot="1" x14ac:dyDescent="0.3">
      <c r="AK579" s="102" t="s">
        <v>544</v>
      </c>
      <c r="AL579" s="34" t="s">
        <v>0</v>
      </c>
      <c r="AM579" s="35" t="s">
        <v>1</v>
      </c>
      <c r="AN579" s="35" t="s">
        <v>2</v>
      </c>
      <c r="AO579" s="35" t="s">
        <v>3</v>
      </c>
      <c r="AP579" s="35" t="s">
        <v>4</v>
      </c>
      <c r="AQ579" s="35" t="s">
        <v>5</v>
      </c>
      <c r="AR579" s="35" t="s">
        <v>6</v>
      </c>
      <c r="AS579" s="35" t="s">
        <v>7</v>
      </c>
      <c r="AT579" s="35" t="s">
        <v>27</v>
      </c>
      <c r="AU579" s="35" t="s">
        <v>9</v>
      </c>
      <c r="AV579" s="35" t="s">
        <v>10</v>
      </c>
      <c r="AW579" s="35" t="s">
        <v>11</v>
      </c>
      <c r="AX579" s="35" t="s">
        <v>12</v>
      </c>
      <c r="AY579" s="35" t="s">
        <v>13</v>
      </c>
      <c r="AZ579" s="35" t="s">
        <v>14</v>
      </c>
      <c r="BA579" s="35" t="s">
        <v>15</v>
      </c>
      <c r="BB579" s="35" t="s">
        <v>16</v>
      </c>
      <c r="BC579" s="35" t="s">
        <v>298</v>
      </c>
      <c r="BD579" s="35" t="s">
        <v>299</v>
      </c>
      <c r="BE579" s="35" t="s">
        <v>300</v>
      </c>
      <c r="BF579" s="35" t="s">
        <v>203</v>
      </c>
      <c r="BG579" s="369" t="s">
        <v>202</v>
      </c>
    </row>
    <row r="580" spans="37:60" x14ac:dyDescent="0.25">
      <c r="AK580" s="279" t="s">
        <v>34</v>
      </c>
      <c r="AL580" s="358">
        <f t="shared" ref="AL580:AT580" si="458">AL393+AL337</f>
        <v>19597.047224999998</v>
      </c>
      <c r="AM580" s="359">
        <f t="shared" si="458"/>
        <v>20781.675910999998</v>
      </c>
      <c r="AN580" s="359">
        <f t="shared" si="458"/>
        <v>25286.649582999999</v>
      </c>
      <c r="AO580" s="359">
        <f t="shared" si="458"/>
        <v>24973.430344</v>
      </c>
      <c r="AP580" s="359">
        <f t="shared" si="458"/>
        <v>26891.21713718</v>
      </c>
      <c r="AQ580" s="359">
        <f t="shared" si="458"/>
        <v>30237.392146319999</v>
      </c>
      <c r="AR580" s="359">
        <f t="shared" si="458"/>
        <v>40234.74557426</v>
      </c>
      <c r="AS580" s="359">
        <f t="shared" si="458"/>
        <v>34213.334237589996</v>
      </c>
      <c r="AT580" s="359">
        <f t="shared" si="458"/>
        <v>24128</v>
      </c>
      <c r="AU580" s="359">
        <f>'[15]2018. I. - Állományi_Új'!D14+'[15]2018. I. - Állományi_Új'!E14+'[15]2018. I. - Állományi_Új'!J14</f>
        <v>24130</v>
      </c>
      <c r="AV580" s="360">
        <f>'[15]2018. II. - Állományi_Új'!D14+'[15]2018. II. - Állományi_Új'!E14+'[15]2018. II. - Állományi_Új'!J14</f>
        <v>27852</v>
      </c>
      <c r="AW580" s="360">
        <f>'[15]2018. III. - Állományi_Új'!D14+'[15]2018. III. - Állományi_Új'!E14+'[15]2018. III. - Állományi_Új'!J14</f>
        <v>33173</v>
      </c>
      <c r="AX580" s="359">
        <f>'[15]2018. IV. - Állományi_Új'!D14+'[15]2018. IV. - Állományi_Új'!E14+'[15]2018. IV. - Állományi_Új'!J14</f>
        <v>38555</v>
      </c>
      <c r="AY580" s="359">
        <f>'[15]2019. I. Állomány adatok_Korr'!E19+'[15]2019. I. Állomány adatok_Korr'!F19+'[15]2019. I. Állomány adatok_Korr'!L19</f>
        <v>37915</v>
      </c>
      <c r="AZ580" s="359">
        <f>'[15]2019. II. Állomány adatok'!E17+'[15]2019. II. Állomány adatok'!F17+'[15]2019. II. Állomány adatok'!L17</f>
        <v>37406</v>
      </c>
      <c r="BA580" s="359">
        <f>BA393+BA337</f>
        <v>44827</v>
      </c>
      <c r="BB580" s="360">
        <f>BB393+BB337</f>
        <v>55775</v>
      </c>
      <c r="BC580" s="360">
        <f>'[15]2020. I. Állomány adatok'!E18+'[15]2020. I. Állomány adatok'!F18+'[15]2020. I. Állomány adatok'!L18</f>
        <v>50970</v>
      </c>
      <c r="BD580" s="360">
        <f>'[15]2020. II. Állományi adatok'!E18+'[15]2020. II. Állományi adatok'!F18+'[15]2020. II. Állományi adatok'!L18</f>
        <v>68108</v>
      </c>
      <c r="BE580" s="360">
        <f>'[15]2020. III. Állományi adatok'!E18+'[15]2020. III. Állományi adatok'!F18+'[15]2020. III. Állományi adatok'!L18</f>
        <v>73911</v>
      </c>
      <c r="BF580" s="360">
        <f>'[15]2020. IV. Állományi adatok'!E18+'[15]2020. IV. Állományi adatok'!F18+'[15]2020. IV. Állományi adatok'!L18</f>
        <v>69137</v>
      </c>
      <c r="BG580" s="443">
        <f>'[15]2021. I. Állományi adatok'!E18+'[15]2021. I. Állományi adatok'!F18+'[15]2021. I. Állományi adatok'!L18</f>
        <v>64140</v>
      </c>
      <c r="BH580" s="1">
        <f>BG580-BC580</f>
        <v>13170</v>
      </c>
    </row>
    <row r="581" spans="37:60" ht="15.75" thickBot="1" x14ac:dyDescent="0.3">
      <c r="AK581" s="361" t="s">
        <v>35</v>
      </c>
      <c r="AL581" s="362">
        <f>AL394+AL338</f>
        <v>74792.345024999988</v>
      </c>
      <c r="AM581" s="282">
        <f>AM394+AM338</f>
        <v>76312.855945999996</v>
      </c>
      <c r="AN581" s="282">
        <f>AN394+AN338</f>
        <v>86462.280448800011</v>
      </c>
      <c r="AO581" s="282">
        <f>AO394+AO355</f>
        <v>83692.641700439999</v>
      </c>
      <c r="AP581" s="282">
        <f>AP394+AP355</f>
        <v>80941.379359999992</v>
      </c>
      <c r="AQ581" s="282">
        <f>AQ394+AQ355</f>
        <v>76659.675801000005</v>
      </c>
      <c r="AR581" s="282">
        <f>AR394+AR338</f>
        <v>82608.503729999997</v>
      </c>
      <c r="AS581" s="282">
        <f>AS394+AS355</f>
        <v>102607.45218800001</v>
      </c>
      <c r="AT581" s="282">
        <f>AT394+AT338</f>
        <v>73054.161999999997</v>
      </c>
      <c r="AU581" s="282">
        <f>'[15]2018. I. - Állományi_Új'!D54+'[15]2018. I. - Állományi_Új'!E54+'[15]2018. I. - Állományi_Új'!J54</f>
        <v>73064</v>
      </c>
      <c r="AV581" s="283">
        <f>'[15]2018. II. - Állományi_Új'!D54+'[15]2018. II. - Állományi_Új'!E54+'[15]2018. II. - Állományi_Új'!J54</f>
        <v>76052</v>
      </c>
      <c r="AW581" s="283">
        <f>'[15]2018. III. - Állományi_Új'!D54+'[15]2018. III. - Állományi_Új'!E54+'[15]2018. III. - Állományi_Új'!J54</f>
        <v>88601</v>
      </c>
      <c r="AX581" s="282">
        <f>'[15]2018. IV. - Állományi_Új'!D54+'[15]2018. IV. - Állományi_Új'!E54+'[15]2018. IV. - Állományi_Új'!J54</f>
        <v>95958</v>
      </c>
      <c r="AY581" s="282">
        <f>'[15]2019. I. Állomány adatok_Korr'!E61+'[15]2019. I. Állomány adatok_Korr'!F61+'[15]2019. I. Állomány adatok_Korr'!L61</f>
        <v>93839</v>
      </c>
      <c r="AZ581" s="282">
        <f>'[15]2019. II. Állomány adatok'!E59+'[15]2019. II. Állomány adatok'!F59+'[15]2019. II. Állomány adatok'!L59</f>
        <v>96768</v>
      </c>
      <c r="BA581" s="282">
        <f>BA394+BA338</f>
        <v>94748</v>
      </c>
      <c r="BB581" s="283">
        <f>BB394+BB338</f>
        <v>92072</v>
      </c>
      <c r="BC581" s="283">
        <f>'[15]2020. I. Állomány adatok'!E65+'[15]2020. I. Állomány adatok'!F65+'[15]2020. I. Állomány adatok'!L65</f>
        <v>91898</v>
      </c>
      <c r="BD581" s="283">
        <f>'[15]2020. II. Állományi adatok'!E65+'[15]2020. II. Állományi adatok'!F65+'[15]2020. II. Állományi adatok'!L65</f>
        <v>97282</v>
      </c>
      <c r="BE581" s="283">
        <f>'[15]2020. III. Állományi adatok'!E65+'[15]2020. III. Állományi adatok'!F65+'[15]2020. III. Állományi adatok'!L65</f>
        <v>101506</v>
      </c>
      <c r="BF581" s="283">
        <f>'[15]2020. IV. Állományi adatok'!E65+'[15]2020. IV. Állományi adatok'!F65+'[15]2020. IV. Állományi adatok'!L65</f>
        <v>89286</v>
      </c>
      <c r="BG581" s="445">
        <f>'[15]2021. I. Állományi adatok'!E65+'[15]2021. I. Állományi adatok'!F65+'[15]2021. I. Állományi adatok'!L65</f>
        <v>87508</v>
      </c>
    </row>
    <row r="582" spans="37:60" x14ac:dyDescent="0.25">
      <c r="AK582" s="510" t="s">
        <v>387</v>
      </c>
      <c r="AL582" s="245">
        <f>AL580/AL584*100</f>
        <v>20.761916946233967</v>
      </c>
      <c r="AM582" s="220">
        <f t="shared" ref="AM582:BG582" si="459">AM580/AM584*100</f>
        <v>21.403549214910552</v>
      </c>
      <c r="AN582" s="220">
        <f t="shared" si="459"/>
        <v>22.628091003470249</v>
      </c>
      <c r="AO582" s="220">
        <f t="shared" si="459"/>
        <v>22.981810121734121</v>
      </c>
      <c r="AP582" s="220">
        <f t="shared" si="459"/>
        <v>24.93792972692005</v>
      </c>
      <c r="AQ582" s="220">
        <f t="shared" si="459"/>
        <v>28.286456052490895</v>
      </c>
      <c r="AR582" s="220">
        <f t="shared" si="459"/>
        <v>32.752915444792556</v>
      </c>
      <c r="AS582" s="220">
        <f t="shared" si="459"/>
        <v>25.005947657081272</v>
      </c>
      <c r="AT582" s="220">
        <f t="shared" si="459"/>
        <v>24.827601592152273</v>
      </c>
      <c r="AU582" s="220">
        <f t="shared" si="459"/>
        <v>24.826635389015784</v>
      </c>
      <c r="AV582" s="220">
        <f t="shared" si="459"/>
        <v>26.805512781028639</v>
      </c>
      <c r="AW582" s="220">
        <f t="shared" si="459"/>
        <v>27.241447271174469</v>
      </c>
      <c r="AX582" s="220">
        <f t="shared" si="459"/>
        <v>28.662657140945484</v>
      </c>
      <c r="AY582" s="220">
        <f t="shared" si="459"/>
        <v>28.777114926302051</v>
      </c>
      <c r="AZ582" s="220">
        <f t="shared" si="459"/>
        <v>27.878724641137627</v>
      </c>
      <c r="BA582" s="220">
        <f t="shared" si="459"/>
        <v>32.11678309152785</v>
      </c>
      <c r="BB582" s="288">
        <f t="shared" si="459"/>
        <v>37.724810107746521</v>
      </c>
      <c r="BC582" s="288">
        <f t="shared" si="459"/>
        <v>35.676288602066244</v>
      </c>
      <c r="BD582" s="288">
        <f t="shared" si="459"/>
        <v>41.180240643327892</v>
      </c>
      <c r="BE582" s="288">
        <f t="shared" si="459"/>
        <v>42.134456751626125</v>
      </c>
      <c r="BF582" s="288">
        <f t="shared" si="459"/>
        <v>43.640759233192149</v>
      </c>
      <c r="BG582" s="221">
        <f t="shared" si="459"/>
        <v>42.29531546739819</v>
      </c>
    </row>
    <row r="583" spans="37:60" ht="15.75" thickBot="1" x14ac:dyDescent="0.3">
      <c r="AK583" s="290" t="s">
        <v>388</v>
      </c>
      <c r="AL583" s="365">
        <f>AL581/AL584*100</f>
        <v>79.238083053766033</v>
      </c>
      <c r="AM583" s="292">
        <f t="shared" ref="AM583:BG583" si="460">AM581/AM584*100</f>
        <v>78.596450785089445</v>
      </c>
      <c r="AN583" s="292">
        <f t="shared" si="460"/>
        <v>77.371908996529754</v>
      </c>
      <c r="AO583" s="292">
        <f t="shared" si="460"/>
        <v>77.018189878265886</v>
      </c>
      <c r="AP583" s="292">
        <f t="shared" si="460"/>
        <v>75.062070273079939</v>
      </c>
      <c r="AQ583" s="292">
        <f t="shared" si="460"/>
        <v>71.713543947509123</v>
      </c>
      <c r="AR583" s="292">
        <f t="shared" si="460"/>
        <v>67.247084555207437</v>
      </c>
      <c r="AS583" s="292">
        <f t="shared" si="460"/>
        <v>74.994052342918735</v>
      </c>
      <c r="AT583" s="292">
        <f t="shared" si="460"/>
        <v>75.172398407847723</v>
      </c>
      <c r="AU583" s="292">
        <f t="shared" si="460"/>
        <v>75.173364610984223</v>
      </c>
      <c r="AV583" s="292">
        <f t="shared" si="460"/>
        <v>73.194487218971361</v>
      </c>
      <c r="AW583" s="292">
        <f t="shared" si="460"/>
        <v>72.758552728825535</v>
      </c>
      <c r="AX583" s="292">
        <f t="shared" si="460"/>
        <v>71.337342859054516</v>
      </c>
      <c r="AY583" s="292">
        <f t="shared" si="460"/>
        <v>71.222885073697952</v>
      </c>
      <c r="AZ583" s="292">
        <f t="shared" si="460"/>
        <v>72.121275358862363</v>
      </c>
      <c r="BA583" s="292">
        <f t="shared" si="460"/>
        <v>67.88321690847215</v>
      </c>
      <c r="BB583" s="293">
        <f t="shared" si="460"/>
        <v>62.275189892253479</v>
      </c>
      <c r="BC583" s="293">
        <f t="shared" si="460"/>
        <v>64.323711397933764</v>
      </c>
      <c r="BD583" s="293">
        <f t="shared" si="460"/>
        <v>58.819759356672108</v>
      </c>
      <c r="BE583" s="293">
        <f t="shared" si="460"/>
        <v>57.865543248373875</v>
      </c>
      <c r="BF583" s="293">
        <f t="shared" si="460"/>
        <v>56.359240766807851</v>
      </c>
      <c r="BG583" s="427">
        <f t="shared" si="460"/>
        <v>57.70468453260181</v>
      </c>
    </row>
    <row r="584" spans="37:60" x14ac:dyDescent="0.25">
      <c r="AK584" s="452" t="s">
        <v>545</v>
      </c>
      <c r="AL584" s="370">
        <f t="shared" ref="AL584:BG584" si="461">AL580+AL581</f>
        <v>94389.39224999999</v>
      </c>
      <c r="AM584" s="371">
        <f t="shared" si="461"/>
        <v>97094.531856999994</v>
      </c>
      <c r="AN584" s="371">
        <f t="shared" si="461"/>
        <v>111748.9300318</v>
      </c>
      <c r="AO584" s="371">
        <f t="shared" si="461"/>
        <v>108666.07204443999</v>
      </c>
      <c r="AP584" s="371">
        <f t="shared" si="461"/>
        <v>107832.59649718</v>
      </c>
      <c r="AQ584" s="371">
        <f t="shared" si="461"/>
        <v>106897.06794732</v>
      </c>
      <c r="AR584" s="371">
        <f t="shared" si="461"/>
        <v>122843.24930426</v>
      </c>
      <c r="AS584" s="371">
        <f t="shared" si="461"/>
        <v>136820.78642558999</v>
      </c>
      <c r="AT584" s="371">
        <f t="shared" si="461"/>
        <v>97182.161999999997</v>
      </c>
      <c r="AU584" s="371">
        <f t="shared" si="461"/>
        <v>97194</v>
      </c>
      <c r="AV584" s="371">
        <f t="shared" si="461"/>
        <v>103904</v>
      </c>
      <c r="AW584" s="371">
        <f t="shared" si="461"/>
        <v>121774</v>
      </c>
      <c r="AX584" s="371">
        <f t="shared" si="461"/>
        <v>134513</v>
      </c>
      <c r="AY584" s="371">
        <f t="shared" si="461"/>
        <v>131754</v>
      </c>
      <c r="AZ584" s="371">
        <f t="shared" si="461"/>
        <v>134174</v>
      </c>
      <c r="BA584" s="371">
        <f t="shared" si="461"/>
        <v>139575</v>
      </c>
      <c r="BB584" s="372">
        <f t="shared" si="461"/>
        <v>147847</v>
      </c>
      <c r="BC584" s="372">
        <f t="shared" si="461"/>
        <v>142868</v>
      </c>
      <c r="BD584" s="372">
        <f t="shared" si="461"/>
        <v>165390</v>
      </c>
      <c r="BE584" s="372">
        <f t="shared" si="461"/>
        <v>175417</v>
      </c>
      <c r="BF584" s="372">
        <f t="shared" si="461"/>
        <v>158423</v>
      </c>
      <c r="BG584" s="447">
        <f t="shared" si="461"/>
        <v>151648</v>
      </c>
    </row>
    <row r="585" spans="37:60" x14ac:dyDescent="0.25">
      <c r="AK585" s="448" t="s">
        <v>390</v>
      </c>
      <c r="AL585" s="248">
        <f>AL584/AL586*100</f>
        <v>21.392042410410752</v>
      </c>
      <c r="AM585" s="223">
        <f t="shared" ref="AM585:BG585" si="462">AM584/AM586*100</f>
        <v>21.184415564549557</v>
      </c>
      <c r="AN585" s="223">
        <f t="shared" si="462"/>
        <v>21.964355496114187</v>
      </c>
      <c r="AO585" s="223">
        <f t="shared" si="462"/>
        <v>19.292689222270749</v>
      </c>
      <c r="AP585" s="223">
        <f t="shared" si="462"/>
        <v>17.82239132903279</v>
      </c>
      <c r="AQ585" s="223">
        <f t="shared" si="462"/>
        <v>17.172771486203573</v>
      </c>
      <c r="AR585" s="223">
        <f t="shared" si="462"/>
        <v>19.053618184565799</v>
      </c>
      <c r="AS585" s="223">
        <f t="shared" si="462"/>
        <v>22.405431906446967</v>
      </c>
      <c r="AT585" s="223">
        <f t="shared" si="462"/>
        <v>16.744920808866098</v>
      </c>
      <c r="AU585" s="223">
        <f t="shared" si="462"/>
        <v>15.698708330035647</v>
      </c>
      <c r="AV585" s="223">
        <f t="shared" si="462"/>
        <v>16.116443413142072</v>
      </c>
      <c r="AW585" s="223">
        <f>AW584/AW586*100</f>
        <v>18.245920012466215</v>
      </c>
      <c r="AX585" s="223">
        <f t="shared" si="462"/>
        <v>21.541036111778364</v>
      </c>
      <c r="AY585" s="223">
        <f t="shared" si="462"/>
        <v>19.246467084062509</v>
      </c>
      <c r="AZ585" s="223">
        <f t="shared" si="462"/>
        <v>18.56789180377325</v>
      </c>
      <c r="BA585" s="223">
        <f t="shared" si="462"/>
        <v>18.696828069555014</v>
      </c>
      <c r="BB585" s="478">
        <f t="shared" si="462"/>
        <v>20.284774654013063</v>
      </c>
      <c r="BC585" s="478">
        <f t="shared" si="462"/>
        <v>19.48734830274169</v>
      </c>
      <c r="BD585" s="478">
        <f t="shared" si="462"/>
        <v>21.323338864328178</v>
      </c>
      <c r="BE585" s="478">
        <f t="shared" si="462"/>
        <v>21.58941261319805</v>
      </c>
      <c r="BF585" s="478">
        <f t="shared" si="462"/>
        <v>19.440241593377532</v>
      </c>
      <c r="BG585" s="414">
        <f t="shared" si="462"/>
        <v>18.619247632506578</v>
      </c>
    </row>
    <row r="586" spans="37:60" ht="15.75" thickBot="1" x14ac:dyDescent="0.3">
      <c r="AK586" s="452" t="s">
        <v>36</v>
      </c>
      <c r="AL586" s="387">
        <v>441236</v>
      </c>
      <c r="AM586" s="388">
        <v>458330</v>
      </c>
      <c r="AN586" s="388">
        <v>508774</v>
      </c>
      <c r="AO586" s="388">
        <v>563250</v>
      </c>
      <c r="AP586" s="388">
        <v>605040</v>
      </c>
      <c r="AQ586" s="388">
        <v>622480</v>
      </c>
      <c r="AR586" s="388">
        <v>644724</v>
      </c>
      <c r="AS586" s="388">
        <v>610659</v>
      </c>
      <c r="AT586" s="388">
        <v>580368</v>
      </c>
      <c r="AU586" s="388">
        <v>619121</v>
      </c>
      <c r="AV586" s="388">
        <v>644708</v>
      </c>
      <c r="AW586" s="388">
        <v>667404</v>
      </c>
      <c r="AX586" s="388">
        <v>624450</v>
      </c>
      <c r="AY586" s="388">
        <v>684562</v>
      </c>
      <c r="AZ586" s="388">
        <v>722613</v>
      </c>
      <c r="BA586" s="388">
        <v>746517</v>
      </c>
      <c r="BB586" s="389">
        <v>728857</v>
      </c>
      <c r="BC586" s="389">
        <v>733132.07</v>
      </c>
      <c r="BD586" s="389">
        <v>775629</v>
      </c>
      <c r="BE586" s="389">
        <v>812514</v>
      </c>
      <c r="BF586" s="389">
        <v>814923</v>
      </c>
      <c r="BG586" s="611">
        <v>814469</v>
      </c>
    </row>
    <row r="587" spans="37:60" x14ac:dyDescent="0.25">
      <c r="AK587" s="25" t="s">
        <v>546</v>
      </c>
      <c r="AL587" s="308">
        <v>0</v>
      </c>
      <c r="AM587" s="309">
        <f>AM584/AL584*100-100</f>
        <v>2.8659360363664206</v>
      </c>
      <c r="AN587" s="309">
        <f t="shared" ref="AN587:AV587" si="463">AN584/AM584*100-100</f>
        <v>15.092918102105784</v>
      </c>
      <c r="AO587" s="309">
        <f t="shared" si="463"/>
        <v>-2.7587360223339346</v>
      </c>
      <c r="AP587" s="309">
        <f t="shared" si="463"/>
        <v>-0.76700623440142124</v>
      </c>
      <c r="AQ587" s="309">
        <f t="shared" si="463"/>
        <v>-0.86757490800518156</v>
      </c>
      <c r="AR587" s="309">
        <f t="shared" si="463"/>
        <v>14.91732342443521</v>
      </c>
      <c r="AS587" s="309">
        <f t="shared" si="463"/>
        <v>11.378351843095771</v>
      </c>
      <c r="AT587" s="309">
        <f t="shared" si="463"/>
        <v>-28.971200547182548</v>
      </c>
      <c r="AU587" s="309">
        <f t="shared" si="463"/>
        <v>1.2181247830241659E-2</v>
      </c>
      <c r="AV587" s="309">
        <f t="shared" si="463"/>
        <v>6.9037183365228287</v>
      </c>
      <c r="AW587" s="309">
        <f>AW584/AV584*100-100</f>
        <v>17.198567908838939</v>
      </c>
      <c r="AX587" s="309">
        <f>AX584/AW584*100-100</f>
        <v>10.461182189958436</v>
      </c>
      <c r="AY587" s="309">
        <f>AY584/AX584*100-100</f>
        <v>-2.0511028673808482</v>
      </c>
      <c r="AZ587" s="309">
        <f>AZ584/AX584*100-100</f>
        <v>-0.25202025083078183</v>
      </c>
      <c r="BA587" s="309">
        <f>BA584/AZ584*100-100</f>
        <v>4.0253700418859069</v>
      </c>
      <c r="BB587" s="310">
        <f>BB584/BA584*100-100</f>
        <v>5.9265627798674529</v>
      </c>
      <c r="BC587" s="310">
        <f>BC584/BB584*100-100</f>
        <v>-3.3676706324781662</v>
      </c>
      <c r="BD587" s="310">
        <f>BD584/BC584*100-100</f>
        <v>15.764201920654017</v>
      </c>
      <c r="BE587" s="310">
        <f>BE584/BD584*100-100</f>
        <v>6.0626398210290802</v>
      </c>
      <c r="BF587" s="310">
        <f t="shared" ref="BF587:BG587" si="464">BF584/BE584*100-100</f>
        <v>-9.687772564802728</v>
      </c>
      <c r="BG587" s="457">
        <f t="shared" si="464"/>
        <v>-4.2765255045037662</v>
      </c>
    </row>
    <row r="588" spans="37:60" x14ac:dyDescent="0.25">
      <c r="AK588" s="15" t="s">
        <v>312</v>
      </c>
      <c r="AL588" s="458">
        <f>AL580/AL586*100</f>
        <v>4.441398078352627</v>
      </c>
      <c r="AM588" s="458">
        <f t="shared" ref="AM588:BG588" si="465">AM580/AM586*100</f>
        <v>4.5342168112495358</v>
      </c>
      <c r="AN588" s="458">
        <f t="shared" si="465"/>
        <v>4.9701143499864378</v>
      </c>
      <c r="AO588" s="458">
        <f t="shared" si="465"/>
        <v>4.4338092044385258</v>
      </c>
      <c r="AP588" s="458">
        <f t="shared" si="465"/>
        <v>4.4445354252908897</v>
      </c>
      <c r="AQ588" s="458">
        <f t="shared" si="465"/>
        <v>4.8575684594396602</v>
      </c>
      <c r="AR588" s="458">
        <f t="shared" si="465"/>
        <v>6.2406154531644544</v>
      </c>
      <c r="AS588" s="458">
        <f t="shared" si="465"/>
        <v>5.6026905748691158</v>
      </c>
      <c r="AT588" s="458">
        <f t="shared" si="465"/>
        <v>4.1573622253466764</v>
      </c>
      <c r="AU588" s="458">
        <f t="shared" si="465"/>
        <v>3.8974610778829986</v>
      </c>
      <c r="AV588" s="458">
        <f t="shared" si="465"/>
        <v>4.3200952989570478</v>
      </c>
      <c r="AW588" s="458">
        <f t="shared" si="465"/>
        <v>4.9704526793366535</v>
      </c>
      <c r="AX588" s="458">
        <f t="shared" si="465"/>
        <v>6.1742333253262869</v>
      </c>
      <c r="AY588" s="458">
        <f t="shared" si="465"/>
        <v>5.5385779520335632</v>
      </c>
      <c r="AZ588" s="458">
        <f t="shared" si="465"/>
        <v>5.1764914276383074</v>
      </c>
      <c r="BA588" s="458">
        <f t="shared" si="465"/>
        <v>6.004819716094878</v>
      </c>
      <c r="BB588" s="459">
        <f t="shared" si="465"/>
        <v>7.6523927190107255</v>
      </c>
      <c r="BC588" s="14">
        <f t="shared" si="465"/>
        <v>6.9523626213759817</v>
      </c>
      <c r="BD588" s="14">
        <f t="shared" si="465"/>
        <v>8.781002257522605</v>
      </c>
      <c r="BE588" s="14">
        <f t="shared" si="465"/>
        <v>9.0965817204380475</v>
      </c>
      <c r="BF588" s="14">
        <f t="shared" si="465"/>
        <v>8.4838690281167661</v>
      </c>
      <c r="BG588" s="663">
        <f t="shared" si="465"/>
        <v>7.8750695238247248</v>
      </c>
    </row>
    <row r="589" spans="37:60" ht="15.75" thickBot="1" x14ac:dyDescent="0.3">
      <c r="AK589" s="15" t="s">
        <v>313</v>
      </c>
      <c r="AL589" s="460">
        <f>AL581/AL586*100</f>
        <v>16.950644332058122</v>
      </c>
      <c r="AM589" s="460">
        <f t="shared" ref="AM589:BG589" si="466">AM581/AM586*100</f>
        <v>16.650198753300025</v>
      </c>
      <c r="AN589" s="460">
        <f t="shared" si="466"/>
        <v>16.994241146127752</v>
      </c>
      <c r="AO589" s="460">
        <f t="shared" si="466"/>
        <v>14.858880017832224</v>
      </c>
      <c r="AP589" s="460">
        <f t="shared" si="466"/>
        <v>13.377855903741901</v>
      </c>
      <c r="AQ589" s="460">
        <f t="shared" si="466"/>
        <v>12.315203026763912</v>
      </c>
      <c r="AR589" s="460">
        <f t="shared" si="466"/>
        <v>12.813002731401344</v>
      </c>
      <c r="AS589" s="460">
        <f t="shared" si="466"/>
        <v>16.802741331577856</v>
      </c>
      <c r="AT589" s="460">
        <f t="shared" si="466"/>
        <v>12.587558583519421</v>
      </c>
      <c r="AU589" s="460">
        <f t="shared" si="466"/>
        <v>11.801247252152649</v>
      </c>
      <c r="AV589" s="460">
        <f t="shared" si="466"/>
        <v>11.796348114185026</v>
      </c>
      <c r="AW589" s="460">
        <f t="shared" si="466"/>
        <v>13.275467333129559</v>
      </c>
      <c r="AX589" s="460">
        <f t="shared" si="466"/>
        <v>15.366802786452077</v>
      </c>
      <c r="AY589" s="460">
        <f t="shared" si="466"/>
        <v>13.707889132028948</v>
      </c>
      <c r="AZ589" s="460">
        <f t="shared" si="466"/>
        <v>13.391400376134943</v>
      </c>
      <c r="BA589" s="460">
        <f t="shared" si="466"/>
        <v>12.692008353460135</v>
      </c>
      <c r="BB589" s="461">
        <f t="shared" si="466"/>
        <v>12.632381935002341</v>
      </c>
      <c r="BC589" s="403">
        <f t="shared" si="466"/>
        <v>12.534985681365708</v>
      </c>
      <c r="BD589" s="403">
        <f t="shared" si="466"/>
        <v>12.542336606805573</v>
      </c>
      <c r="BE589" s="403">
        <f t="shared" si="466"/>
        <v>12.492830892760001</v>
      </c>
      <c r="BF589" s="403">
        <f t="shared" si="466"/>
        <v>10.956372565260766</v>
      </c>
      <c r="BG589" s="664">
        <f t="shared" si="466"/>
        <v>10.744178108681853</v>
      </c>
    </row>
    <row r="590" spans="37:60" ht="15.75" thickBot="1" x14ac:dyDescent="0.3">
      <c r="AK590" s="325" t="s">
        <v>26</v>
      </c>
      <c r="AL590" s="464">
        <v>825056</v>
      </c>
      <c r="AM590" s="465">
        <v>848204</v>
      </c>
      <c r="AN590" s="465">
        <v>924696</v>
      </c>
      <c r="AO590" s="465">
        <v>985514</v>
      </c>
      <c r="AP590" s="465">
        <v>997791</v>
      </c>
      <c r="AQ590" s="465">
        <v>1005984</v>
      </c>
      <c r="AR590" s="465">
        <v>1073238</v>
      </c>
      <c r="AS590" s="465">
        <v>1070624</v>
      </c>
      <c r="AT590" s="465">
        <v>1030760</v>
      </c>
      <c r="AU590" s="465">
        <v>1072544</v>
      </c>
      <c r="AV590" s="465">
        <v>1109892</v>
      </c>
      <c r="AW590" s="465">
        <v>1163376</v>
      </c>
      <c r="AX590" s="465">
        <v>1160339</v>
      </c>
      <c r="AY590" s="465">
        <v>1205011</v>
      </c>
      <c r="AZ590" s="465">
        <v>1233423</v>
      </c>
      <c r="BA590" s="465">
        <v>1292983</v>
      </c>
      <c r="BB590" s="665">
        <v>1269580</v>
      </c>
      <c r="BC590" s="465">
        <v>1292276.71</v>
      </c>
      <c r="BD590" s="465">
        <v>1306049</v>
      </c>
      <c r="BE590" s="465">
        <v>1405757</v>
      </c>
      <c r="BF590" s="465">
        <v>1431391</v>
      </c>
      <c r="BG590" s="467">
        <v>1435198</v>
      </c>
    </row>
    <row r="591" spans="37:60" ht="15.75" thickBot="1" x14ac:dyDescent="0.3">
      <c r="AK591" s="336" t="s">
        <v>547</v>
      </c>
      <c r="AL591" s="9">
        <f>AL584/AL590*100</f>
        <v>11.440361896647014</v>
      </c>
      <c r="AM591" s="9">
        <f t="shared" ref="AM591:BG591" si="467">AM584/AM590*100</f>
        <v>11.44707309291161</v>
      </c>
      <c r="AN591" s="9">
        <f t="shared" si="467"/>
        <v>12.084937107092493</v>
      </c>
      <c r="AO591" s="9">
        <f t="shared" si="467"/>
        <v>11.026334688745161</v>
      </c>
      <c r="AP591" s="9">
        <f t="shared" si="467"/>
        <v>10.807132605643867</v>
      </c>
      <c r="AQ591" s="9">
        <f t="shared" si="467"/>
        <v>10.626120092100869</v>
      </c>
      <c r="AR591" s="9">
        <f t="shared" si="467"/>
        <v>11.446039862943728</v>
      </c>
      <c r="AS591" s="9">
        <f t="shared" si="467"/>
        <v>12.779536646440768</v>
      </c>
      <c r="AT591" s="9">
        <f t="shared" si="467"/>
        <v>9.4282046257130663</v>
      </c>
      <c r="AU591" s="9">
        <f t="shared" si="467"/>
        <v>9.0620058477787389</v>
      </c>
      <c r="AV591" s="337">
        <f t="shared" si="467"/>
        <v>9.3616315821719596</v>
      </c>
      <c r="AW591" s="337">
        <f t="shared" si="467"/>
        <v>10.467295182297038</v>
      </c>
      <c r="AX591" s="9">
        <f t="shared" si="467"/>
        <v>11.59256045000642</v>
      </c>
      <c r="AY591" s="9">
        <f t="shared" si="467"/>
        <v>10.933842097706991</v>
      </c>
      <c r="AZ591" s="9">
        <f t="shared" si="467"/>
        <v>10.878182099733829</v>
      </c>
      <c r="BA591" s="9">
        <f t="shared" si="467"/>
        <v>10.794805500149653</v>
      </c>
      <c r="BB591" s="337">
        <f t="shared" si="467"/>
        <v>11.645347280202902</v>
      </c>
      <c r="BC591" s="337">
        <f t="shared" si="467"/>
        <v>11.055526954439967</v>
      </c>
      <c r="BD591" s="337">
        <f t="shared" si="467"/>
        <v>12.663383992484203</v>
      </c>
      <c r="BE591" s="337">
        <f t="shared" si="467"/>
        <v>12.478472452920384</v>
      </c>
      <c r="BF591" s="337">
        <f t="shared" si="467"/>
        <v>11.06776555113173</v>
      </c>
      <c r="BG591" s="666">
        <f t="shared" si="467"/>
        <v>10.566346943069876</v>
      </c>
    </row>
    <row r="592" spans="37:60" ht="15.75" thickBot="1" x14ac:dyDescent="0.3"/>
    <row r="593" spans="37:59" ht="19.5" thickBot="1" x14ac:dyDescent="0.35">
      <c r="AK593" s="1112" t="s">
        <v>548</v>
      </c>
      <c r="AL593" s="1113"/>
      <c r="AM593" s="1113"/>
      <c r="AN593" s="1113"/>
      <c r="AO593" s="1113"/>
      <c r="AP593" s="1113"/>
      <c r="AQ593" s="1113"/>
      <c r="AR593" s="1113"/>
      <c r="AS593" s="1113"/>
      <c r="AT593" s="1113"/>
      <c r="AU593" s="1113"/>
      <c r="AV593" s="1113"/>
      <c r="AW593" s="1113"/>
      <c r="AX593" s="1113"/>
      <c r="AY593" s="1113"/>
      <c r="AZ593" s="1113"/>
      <c r="BA593" s="1113"/>
      <c r="BB593" s="1113"/>
      <c r="BC593" s="1113"/>
      <c r="BD593" s="1113"/>
      <c r="BE593" s="1113"/>
      <c r="BF593" s="1113"/>
      <c r="BG593" s="1114"/>
    </row>
    <row r="594" spans="37:59" ht="15.75" thickBot="1" x14ac:dyDescent="0.3"/>
    <row r="595" spans="37:59" ht="15.75" thickBot="1" x14ac:dyDescent="0.3">
      <c r="AK595" s="157" t="s">
        <v>549</v>
      </c>
      <c r="AL595" s="175" t="s">
        <v>0</v>
      </c>
      <c r="AM595" s="35" t="s">
        <v>1</v>
      </c>
      <c r="AN595" s="35" t="s">
        <v>2</v>
      </c>
      <c r="AO595" s="35" t="s">
        <v>3</v>
      </c>
      <c r="AP595" s="35" t="s">
        <v>4</v>
      </c>
      <c r="AQ595" s="35" t="s">
        <v>5</v>
      </c>
      <c r="AR595" s="35" t="s">
        <v>6</v>
      </c>
      <c r="AS595" s="35" t="s">
        <v>7</v>
      </c>
      <c r="AT595" s="35" t="s">
        <v>27</v>
      </c>
      <c r="AU595" s="35" t="s">
        <v>9</v>
      </c>
      <c r="AV595" s="35" t="s">
        <v>10</v>
      </c>
      <c r="AW595" s="35" t="s">
        <v>11</v>
      </c>
      <c r="AX595" s="35" t="s">
        <v>12</v>
      </c>
      <c r="AY595" s="35" t="s">
        <v>13</v>
      </c>
      <c r="AZ595" s="35" t="s">
        <v>14</v>
      </c>
      <c r="BA595" s="35" t="s">
        <v>15</v>
      </c>
      <c r="BB595" s="35" t="s">
        <v>16</v>
      </c>
      <c r="BC595" s="35" t="s">
        <v>298</v>
      </c>
      <c r="BD595" s="35" t="s">
        <v>299</v>
      </c>
      <c r="BE595" s="35" t="s">
        <v>300</v>
      </c>
      <c r="BF595" s="35" t="s">
        <v>203</v>
      </c>
      <c r="BG595" s="176" t="s">
        <v>202</v>
      </c>
    </row>
    <row r="596" spans="37:59" x14ac:dyDescent="0.25">
      <c r="AK596" s="279" t="s">
        <v>34</v>
      </c>
      <c r="AL596" s="358">
        <f t="shared" ref="AL596:AT597" si="468">AL410+AL354</f>
        <v>854.69209599999999</v>
      </c>
      <c r="AM596" s="359">
        <f t="shared" si="468"/>
        <v>870.683491</v>
      </c>
      <c r="AN596" s="359">
        <f t="shared" si="468"/>
        <v>935.31647099999998</v>
      </c>
      <c r="AO596" s="359">
        <f t="shared" si="468"/>
        <v>1150.2982629999999</v>
      </c>
      <c r="AP596" s="359">
        <f t="shared" si="468"/>
        <v>1021.012536</v>
      </c>
      <c r="AQ596" s="359">
        <f t="shared" si="468"/>
        <v>937.65800000000002</v>
      </c>
      <c r="AR596" s="359">
        <f t="shared" si="468"/>
        <v>1651</v>
      </c>
      <c r="AS596" s="359">
        <f t="shared" si="468"/>
        <v>1169.7676750000001</v>
      </c>
      <c r="AT596" s="359">
        <f t="shared" si="468"/>
        <v>2070</v>
      </c>
      <c r="AU596" s="359">
        <f>'[15]2018. I. - Állományi_Új'!D29+'[15]2018. I. - Állományi_Új'!E29+'[15]2018. I. - Állományi_Új'!J29</f>
        <v>2070</v>
      </c>
      <c r="AV596" s="359">
        <f>'[15]2018. II. - Állományi_Új'!D29+'[15]2018. II. - Állományi_Új'!E29+'[15]2018. II. - Állományi_Új'!J29</f>
        <v>877</v>
      </c>
      <c r="AW596" s="360">
        <f>'[15]2018. III. - Állományi_Új'!D29+'[15]2018. III. - Állományi_Új'!E29+'[15]2018. III. - Állományi_Új'!J29</f>
        <v>868</v>
      </c>
      <c r="AX596" s="359">
        <f>'[15]2018. IV. - Állományi_Új'!D29+'[15]2018. IV. - Állományi_Új'!E29+'[15]2018. IV. - Állományi_Új'!J29</f>
        <v>3292</v>
      </c>
      <c r="AY596" s="359">
        <f>AZ410+AZ354</f>
        <v>1318</v>
      </c>
      <c r="AZ596" s="359">
        <f t="shared" ref="AZ596:BB597" si="469">AZ410+AZ354</f>
        <v>1318</v>
      </c>
      <c r="BA596" s="359">
        <f t="shared" si="469"/>
        <v>1394</v>
      </c>
      <c r="BB596" s="360">
        <f t="shared" si="469"/>
        <v>1920</v>
      </c>
      <c r="BC596" s="360">
        <f>'[15]2020. I. Állomány adatok'!E34+'[15]2020. I. Állomány adatok'!F34+'[15]2020. I. Állomány adatok'!L34</f>
        <v>1785</v>
      </c>
      <c r="BD596" s="359">
        <f>'[15]2020. II. Állományi adatok'!E34+'[15]2020. II. Állományi adatok'!F34+'[15]2020. II. Állományi adatok'!L34</f>
        <v>1724</v>
      </c>
      <c r="BE596" s="359">
        <f>'[15]2020. III. Állományi adatok'!E34+'[15]2020. III. Állományi adatok'!F34+'[15]2020. III. Állományi adatok'!L34</f>
        <v>1998</v>
      </c>
      <c r="BF596" s="359">
        <f>'[15]2020. IV. Állományi adatok'!E34+'[15]2020. IV. Állományi adatok'!F34+'[15]2020. IV. Állományi adatok'!L34</f>
        <v>2146</v>
      </c>
      <c r="BG596" s="627">
        <f>'[15]2021. I. Állományi adatok'!E34+'[15]2021. I. Állományi adatok'!F34+'[15]2021. I. Állományi adatok'!L34</f>
        <v>2048</v>
      </c>
    </row>
    <row r="597" spans="37:59" ht="15.75" thickBot="1" x14ac:dyDescent="0.3">
      <c r="AK597" s="361" t="s">
        <v>35</v>
      </c>
      <c r="AL597" s="362">
        <f t="shared" si="468"/>
        <v>128753.86224769001</v>
      </c>
      <c r="AM597" s="362">
        <f t="shared" si="468"/>
        <v>121924.86253899999</v>
      </c>
      <c r="AN597" s="282">
        <f t="shared" si="468"/>
        <v>144876.079188</v>
      </c>
      <c r="AO597" s="282">
        <f t="shared" si="468"/>
        <v>147430.691082142</v>
      </c>
      <c r="AP597" s="282">
        <f t="shared" si="468"/>
        <v>119589.92412273001</v>
      </c>
      <c r="AQ597" s="282">
        <f t="shared" si="468"/>
        <v>109296.3377703842</v>
      </c>
      <c r="AR597" s="282">
        <f t="shared" si="468"/>
        <v>143007.0343011849</v>
      </c>
      <c r="AS597" s="282">
        <f t="shared" si="468"/>
        <v>162620.82961839001</v>
      </c>
      <c r="AT597" s="282">
        <f t="shared" si="468"/>
        <v>145426.41200000001</v>
      </c>
      <c r="AU597" s="282">
        <f>'[15]2018. I. - Állományi_Új'!D69+'[15]2018. I. - Állományi_Új'!E69+'[15]2018. I. - Állományi_Új'!J69</f>
        <v>145426</v>
      </c>
      <c r="AV597" s="282">
        <f>'[15]2018. II. - Állományi_Új'!D69+'[15]2018. II. - Állományi_Új'!E69+'[15]2018. II. - Állományi_Új'!J69</f>
        <v>123862</v>
      </c>
      <c r="AW597" s="283">
        <f>'[15]2018. III. - Állományi_Új'!D69+'[15]2018. III. - Állományi_Új'!E69+'[15]2018. III. - Állományi_Új'!J69</f>
        <v>153451</v>
      </c>
      <c r="AX597" s="282">
        <f>'[15]2018. IV. - Állományi_Új'!D69+'[15]2018. IV. - Állományi_Új'!E69+'[15]2018. IV. - Állományi_Új'!J69</f>
        <v>173307</v>
      </c>
      <c r="AY597" s="282">
        <f>AZ411+AZ355</f>
        <v>151002</v>
      </c>
      <c r="AZ597" s="282">
        <f t="shared" si="469"/>
        <v>151002</v>
      </c>
      <c r="BA597" s="282">
        <f t="shared" si="469"/>
        <v>164711</v>
      </c>
      <c r="BB597" s="283">
        <f t="shared" si="469"/>
        <v>169133</v>
      </c>
      <c r="BC597" s="283">
        <f>'[15]2020. I. Állomány adatok'!E81+'[15]2020. I. Állomány adatok'!F81+'[15]2020. I. Állomány adatok'!L81</f>
        <v>172264</v>
      </c>
      <c r="BD597" s="282">
        <f>'[15]2020. II. Állományi adatok'!E81+'[15]2020. II. Állományi adatok'!F81+'[15]2020. II. Állományi adatok'!L81</f>
        <v>146419</v>
      </c>
      <c r="BE597" s="282">
        <f>'[15]2020. III. Állományi adatok'!E81+'[15]2020. III. Állományi adatok'!F81+'[15]2020. III. Állományi adatok'!L81</f>
        <v>157042</v>
      </c>
      <c r="BF597" s="282">
        <f>'[15]2020. IV. Állományi adatok'!E81+'[15]2020. IV. Állományi adatok'!F81+'[15]2020. IV. Állományi adatok'!L81</f>
        <v>151426</v>
      </c>
      <c r="BG597" s="628">
        <f>'[15]2021. I. Állományi adatok'!E81+'[15]2021. I. Állományi adatok'!F81+'[15]2021. I. Állományi adatok'!L81</f>
        <v>150589</v>
      </c>
    </row>
    <row r="598" spans="37:59" x14ac:dyDescent="0.25">
      <c r="AK598" s="510" t="s">
        <v>387</v>
      </c>
      <c r="AL598" s="667">
        <f>AL596/AL600*100</f>
        <v>0.65944111507761038</v>
      </c>
      <c r="AM598" s="289">
        <f>AM596/AM600*100</f>
        <v>0.70905136151052628</v>
      </c>
      <c r="AN598" s="289">
        <f t="shared" ref="AN598:BG598" si="470">AN596/AN600*100</f>
        <v>0.6414563599592491</v>
      </c>
      <c r="AO598" s="289">
        <f t="shared" si="470"/>
        <v>0.77418939533909492</v>
      </c>
      <c r="AP598" s="289">
        <f t="shared" si="470"/>
        <v>0.84653395810113508</v>
      </c>
      <c r="AQ598" s="289">
        <f t="shared" si="470"/>
        <v>0.85060692343324651</v>
      </c>
      <c r="AR598" s="289">
        <f t="shared" si="470"/>
        <v>1.1413123425709901</v>
      </c>
      <c r="AS598" s="289">
        <f t="shared" si="470"/>
        <v>0.71418487650097084</v>
      </c>
      <c r="AT598" s="289">
        <f t="shared" si="470"/>
        <v>1.4034239693912012</v>
      </c>
      <c r="AU598" s="289">
        <f t="shared" si="470"/>
        <v>1.4034278895698866</v>
      </c>
      <c r="AV598" s="289">
        <f t="shared" si="470"/>
        <v>0.70306800599652075</v>
      </c>
      <c r="AW598" s="220">
        <f t="shared" si="470"/>
        <v>0.56247124462963083</v>
      </c>
      <c r="AX598" s="220">
        <f t="shared" si="470"/>
        <v>1.8641102157996365</v>
      </c>
      <c r="AY598" s="220">
        <f t="shared" si="470"/>
        <v>0.86528361344537819</v>
      </c>
      <c r="AZ598" s="220">
        <f t="shared" si="470"/>
        <v>0.86528361344537819</v>
      </c>
      <c r="BA598" s="220">
        <f t="shared" si="470"/>
        <v>0.83922819903073353</v>
      </c>
      <c r="BB598" s="288">
        <f t="shared" si="470"/>
        <v>1.1224591208572781</v>
      </c>
      <c r="BC598" s="288">
        <f t="shared" si="470"/>
        <v>1.0255732581054759</v>
      </c>
      <c r="BD598" s="288">
        <f t="shared" si="470"/>
        <v>1.1637404399802893</v>
      </c>
      <c r="BE598" s="288">
        <f t="shared" si="470"/>
        <v>1.2562877263581489</v>
      </c>
      <c r="BF598" s="288">
        <f t="shared" si="470"/>
        <v>1.3973901492459564</v>
      </c>
      <c r="BG598" s="221">
        <f t="shared" si="470"/>
        <v>1.3417454483513171</v>
      </c>
    </row>
    <row r="599" spans="37:59" ht="15.75" thickBot="1" x14ac:dyDescent="0.3">
      <c r="AK599" s="290" t="s">
        <v>388</v>
      </c>
      <c r="AL599" s="365">
        <f>AL597/AL600*100</f>
        <v>99.340558884922388</v>
      </c>
      <c r="AM599" s="292">
        <f>AM597/AM600*100</f>
        <v>99.290948638489468</v>
      </c>
      <c r="AN599" s="292">
        <f t="shared" ref="AN599:BG599" si="471">AN597/AN600*100</f>
        <v>99.35854364004075</v>
      </c>
      <c r="AO599" s="292">
        <f t="shared" si="471"/>
        <v>99.225810604660907</v>
      </c>
      <c r="AP599" s="292">
        <f t="shared" si="471"/>
        <v>99.153466041898881</v>
      </c>
      <c r="AQ599" s="292">
        <f t="shared" si="471"/>
        <v>99.149393076566767</v>
      </c>
      <c r="AR599" s="292">
        <f t="shared" si="471"/>
        <v>98.858687657429016</v>
      </c>
      <c r="AS599" s="292">
        <f t="shared" si="471"/>
        <v>99.28581512349902</v>
      </c>
      <c r="AT599" s="292">
        <f t="shared" si="471"/>
        <v>98.596576030608801</v>
      </c>
      <c r="AU599" s="292">
        <f t="shared" si="471"/>
        <v>98.596572110430117</v>
      </c>
      <c r="AV599" s="292">
        <f t="shared" si="471"/>
        <v>99.296931994003472</v>
      </c>
      <c r="AW599" s="292">
        <f t="shared" si="471"/>
        <v>99.43752875537038</v>
      </c>
      <c r="AX599" s="292">
        <f t="shared" si="471"/>
        <v>98.135889784200359</v>
      </c>
      <c r="AY599" s="292">
        <f t="shared" si="471"/>
        <v>99.134716386554629</v>
      </c>
      <c r="AZ599" s="292">
        <f t="shared" si="471"/>
        <v>99.134716386554629</v>
      </c>
      <c r="BA599" s="292">
        <f t="shared" si="471"/>
        <v>99.160771800969272</v>
      </c>
      <c r="BB599" s="293">
        <f t="shared" si="471"/>
        <v>98.877540879142728</v>
      </c>
      <c r="BC599" s="293">
        <f t="shared" si="471"/>
        <v>98.974426741894533</v>
      </c>
      <c r="BD599" s="293">
        <f t="shared" si="471"/>
        <v>98.836259560019712</v>
      </c>
      <c r="BE599" s="293">
        <f t="shared" si="471"/>
        <v>98.743712273641847</v>
      </c>
      <c r="BF599" s="293">
        <f t="shared" si="471"/>
        <v>98.602609850754035</v>
      </c>
      <c r="BG599" s="427">
        <f t="shared" si="471"/>
        <v>98.658254551648682</v>
      </c>
    </row>
    <row r="600" spans="37:59" x14ac:dyDescent="0.25">
      <c r="AK600" s="345" t="s">
        <v>550</v>
      </c>
      <c r="AL600" s="370">
        <f>AL596+AL597</f>
        <v>129608.55434369</v>
      </c>
      <c r="AM600" s="371">
        <f t="shared" ref="AM600:BG600" si="472">AM596+AM597</f>
        <v>122795.54603</v>
      </c>
      <c r="AN600" s="371">
        <f t="shared" si="472"/>
        <v>145811.395659</v>
      </c>
      <c r="AO600" s="371">
        <f t="shared" si="472"/>
        <v>148580.98934514201</v>
      </c>
      <c r="AP600" s="371">
        <f t="shared" si="472"/>
        <v>120610.93665873</v>
      </c>
      <c r="AQ600" s="371">
        <f t="shared" si="472"/>
        <v>110233.99577038419</v>
      </c>
      <c r="AR600" s="371">
        <f t="shared" si="472"/>
        <v>144658.0343011849</v>
      </c>
      <c r="AS600" s="371">
        <f t="shared" si="472"/>
        <v>163790.59729339002</v>
      </c>
      <c r="AT600" s="371">
        <f t="shared" si="472"/>
        <v>147496.41200000001</v>
      </c>
      <c r="AU600" s="371">
        <f t="shared" si="472"/>
        <v>147496</v>
      </c>
      <c r="AV600" s="371">
        <f t="shared" si="472"/>
        <v>124739</v>
      </c>
      <c r="AW600" s="371">
        <f t="shared" si="472"/>
        <v>154319</v>
      </c>
      <c r="AX600" s="371">
        <f t="shared" si="472"/>
        <v>176599</v>
      </c>
      <c r="AY600" s="371">
        <f t="shared" si="472"/>
        <v>152320</v>
      </c>
      <c r="AZ600" s="371">
        <f t="shared" si="472"/>
        <v>152320</v>
      </c>
      <c r="BA600" s="371">
        <f t="shared" si="472"/>
        <v>166105</v>
      </c>
      <c r="BB600" s="372">
        <f t="shared" si="472"/>
        <v>171053</v>
      </c>
      <c r="BC600" s="372">
        <f t="shared" si="472"/>
        <v>174049</v>
      </c>
      <c r="BD600" s="372">
        <f t="shared" si="472"/>
        <v>148143</v>
      </c>
      <c r="BE600" s="372">
        <f t="shared" si="472"/>
        <v>159040</v>
      </c>
      <c r="BF600" s="372">
        <f t="shared" si="472"/>
        <v>153572</v>
      </c>
      <c r="BG600" s="447">
        <f t="shared" si="472"/>
        <v>152637</v>
      </c>
    </row>
    <row r="601" spans="37:59" x14ac:dyDescent="0.25">
      <c r="AK601" s="380" t="s">
        <v>396</v>
      </c>
      <c r="AL601" s="381">
        <f>AL600/AL602*100</f>
        <v>33.76796849148171</v>
      </c>
      <c r="AM601" s="381">
        <f t="shared" ref="AM601:BG601" si="473">AM600/AM602*100</f>
        <v>31.496213143220629</v>
      </c>
      <c r="AN601" s="381">
        <f t="shared" si="473"/>
        <v>35.05738952471858</v>
      </c>
      <c r="AO601" s="381">
        <f t="shared" si="473"/>
        <v>35.186752682005093</v>
      </c>
      <c r="AP601" s="381">
        <f t="shared" si="473"/>
        <v>30.709340969759392</v>
      </c>
      <c r="AQ601" s="381">
        <f t="shared" si="473"/>
        <v>28.74382231532423</v>
      </c>
      <c r="AR601" s="381">
        <f t="shared" si="473"/>
        <v>33.758143697200524</v>
      </c>
      <c r="AS601" s="381">
        <f t="shared" si="473"/>
        <v>35.609283576044753</v>
      </c>
      <c r="AT601" s="381">
        <f t="shared" si="473"/>
        <v>32.748452903248726</v>
      </c>
      <c r="AU601" s="381">
        <f t="shared" si="473"/>
        <v>32.529448219433064</v>
      </c>
      <c r="AV601" s="381">
        <f t="shared" si="473"/>
        <v>26.814980738804429</v>
      </c>
      <c r="AW601" s="223">
        <f t="shared" si="473"/>
        <v>31.114458074246127</v>
      </c>
      <c r="AX601" s="223">
        <f t="shared" si="473"/>
        <v>34.960199389083883</v>
      </c>
      <c r="AY601" s="223">
        <f t="shared" si="473"/>
        <v>29.267036731745087</v>
      </c>
      <c r="AZ601" s="223">
        <f t="shared" si="473"/>
        <v>29.819306591491944</v>
      </c>
      <c r="BA601" s="223">
        <f t="shared" si="473"/>
        <v>30.396218611953902</v>
      </c>
      <c r="BB601" s="478">
        <f t="shared" si="473"/>
        <v>31.392322825975246</v>
      </c>
      <c r="BC601" s="478">
        <f t="shared" si="473"/>
        <v>31.127723946347764</v>
      </c>
      <c r="BD601" s="478">
        <f t="shared" si="473"/>
        <v>27.929429375644538</v>
      </c>
      <c r="BE601" s="478">
        <f t="shared" si="473"/>
        <v>26.80853072260318</v>
      </c>
      <c r="BF601" s="478">
        <f t="shared" si="473"/>
        <v>24.911633550538795</v>
      </c>
      <c r="BG601" s="414">
        <f t="shared" si="473"/>
        <v>24.589957936555244</v>
      </c>
    </row>
    <row r="602" spans="37:59" ht="15.75" thickBot="1" x14ac:dyDescent="0.3">
      <c r="AK602" s="345" t="s">
        <v>482</v>
      </c>
      <c r="AL602" s="387">
        <v>383821</v>
      </c>
      <c r="AM602" s="388">
        <v>389874</v>
      </c>
      <c r="AN602" s="388">
        <v>415922</v>
      </c>
      <c r="AO602" s="388">
        <v>422264</v>
      </c>
      <c r="AP602" s="388">
        <v>392750</v>
      </c>
      <c r="AQ602" s="388">
        <v>383505</v>
      </c>
      <c r="AR602" s="388">
        <v>428513</v>
      </c>
      <c r="AS602" s="388">
        <v>459966</v>
      </c>
      <c r="AT602" s="388">
        <v>450392</v>
      </c>
      <c r="AU602" s="388">
        <v>453423</v>
      </c>
      <c r="AV602" s="388">
        <v>465184</v>
      </c>
      <c r="AW602" s="388">
        <v>495972</v>
      </c>
      <c r="AX602" s="388">
        <v>505143</v>
      </c>
      <c r="AY602" s="388">
        <v>520449</v>
      </c>
      <c r="AZ602" s="388">
        <v>510810</v>
      </c>
      <c r="BA602" s="388">
        <v>546466</v>
      </c>
      <c r="BB602" s="389">
        <v>544888</v>
      </c>
      <c r="BC602" s="389">
        <v>559144.64</v>
      </c>
      <c r="BD602" s="388">
        <v>530419</v>
      </c>
      <c r="BE602" s="388">
        <v>593244</v>
      </c>
      <c r="BF602" s="389">
        <v>616467</v>
      </c>
      <c r="BG602" s="611">
        <v>620729</v>
      </c>
    </row>
    <row r="603" spans="37:59" x14ac:dyDescent="0.25">
      <c r="AK603" s="668" t="s">
        <v>551</v>
      </c>
      <c r="AL603" s="308">
        <v>0</v>
      </c>
      <c r="AM603" s="309">
        <f>AM600/AL600*100-100</f>
        <v>-5.2566038933075276</v>
      </c>
      <c r="AN603" s="309">
        <f t="shared" ref="AN603:AW603" si="474">AN600/AM600*100-100</f>
        <v>18.743228376847682</v>
      </c>
      <c r="AO603" s="309">
        <f t="shared" si="474"/>
        <v>1.899435687879361</v>
      </c>
      <c r="AP603" s="309">
        <f t="shared" si="474"/>
        <v>-18.824785599885701</v>
      </c>
      <c r="AQ603" s="309">
        <f t="shared" si="474"/>
        <v>-8.6036483720439776</v>
      </c>
      <c r="AR603" s="309">
        <f t="shared" si="474"/>
        <v>31.228150889590779</v>
      </c>
      <c r="AS603" s="309">
        <f t="shared" si="474"/>
        <v>13.226063166578243</v>
      </c>
      <c r="AT603" s="309">
        <f t="shared" si="474"/>
        <v>-9.9481811304485461</v>
      </c>
      <c r="AU603" s="309">
        <f t="shared" si="474"/>
        <v>-2.7932882869663445E-4</v>
      </c>
      <c r="AV603" s="309">
        <f t="shared" si="474"/>
        <v>-15.42889298692846</v>
      </c>
      <c r="AW603" s="309">
        <f t="shared" si="474"/>
        <v>23.713513816849584</v>
      </c>
      <c r="AX603" s="309">
        <f>AX600/AW600*100-100</f>
        <v>14.437625956622327</v>
      </c>
      <c r="AY603" s="309">
        <f>AY600/AX600*100-100</f>
        <v>-13.74809596883334</v>
      </c>
      <c r="AZ603" s="309">
        <f>AZ600/AX600*100-100</f>
        <v>-13.74809596883334</v>
      </c>
      <c r="BA603" s="309">
        <f>BA600/AZ600*100-100</f>
        <v>9.0500262605041968</v>
      </c>
      <c r="BB603" s="310">
        <f>BB600/BA600*100-100</f>
        <v>2.9788386863730807</v>
      </c>
      <c r="BC603" s="310">
        <f>BC600/BB600*100-100</f>
        <v>1.7515039198377167</v>
      </c>
      <c r="BD603" s="310">
        <f t="shared" ref="BD603:BG603" si="475">BD600/BC600*100-100</f>
        <v>-14.884314187384021</v>
      </c>
      <c r="BE603" s="310">
        <f t="shared" si="475"/>
        <v>7.355730611638748</v>
      </c>
      <c r="BF603" s="310">
        <f t="shared" si="475"/>
        <v>-3.438128772635821</v>
      </c>
      <c r="BG603" s="457">
        <f t="shared" si="475"/>
        <v>-0.60883494386997938</v>
      </c>
    </row>
    <row r="604" spans="37:59" x14ac:dyDescent="0.25">
      <c r="AK604" s="15" t="s">
        <v>484</v>
      </c>
      <c r="AL604" s="458">
        <f>AL596/AL602*100</f>
        <v>0.2226798679592831</v>
      </c>
      <c r="AM604" s="458">
        <f t="shared" ref="AM604:BG604" si="476">AM596/AM602*100</f>
        <v>0.22332432811626321</v>
      </c>
      <c r="AN604" s="458">
        <f t="shared" si="476"/>
        <v>0.22487785474199487</v>
      </c>
      <c r="AO604" s="458">
        <f t="shared" si="476"/>
        <v>0.27241210782827802</v>
      </c>
      <c r="AP604" s="458">
        <f t="shared" si="476"/>
        <v>0.25996499961807767</v>
      </c>
      <c r="AQ604" s="458">
        <f t="shared" si="476"/>
        <v>0.24449694267349842</v>
      </c>
      <c r="AR604" s="458">
        <f t="shared" si="476"/>
        <v>0.38528586063900044</v>
      </c>
      <c r="AS604" s="458">
        <f t="shared" si="476"/>
        <v>0.25431611793045572</v>
      </c>
      <c r="AT604" s="458">
        <f t="shared" si="476"/>
        <v>0.45959963764898132</v>
      </c>
      <c r="AU604" s="458">
        <f t="shared" si="476"/>
        <v>0.45652734863471855</v>
      </c>
      <c r="AV604" s="458">
        <f t="shared" si="476"/>
        <v>0.1885275503886634</v>
      </c>
      <c r="AW604" s="458">
        <f t="shared" si="476"/>
        <v>0.17500987958997685</v>
      </c>
      <c r="AX604" s="458">
        <f t="shared" si="476"/>
        <v>0.65169664827583484</v>
      </c>
      <c r="AY604" s="458">
        <f t="shared" si="476"/>
        <v>0.25324287298082998</v>
      </c>
      <c r="AZ604" s="458">
        <f t="shared" si="476"/>
        <v>0.25802157357921729</v>
      </c>
      <c r="BA604" s="458">
        <f t="shared" si="476"/>
        <v>0.25509363803054536</v>
      </c>
      <c r="BB604" s="459">
        <f t="shared" si="476"/>
        <v>0.3523659908091204</v>
      </c>
      <c r="BC604" s="14">
        <f t="shared" si="476"/>
        <v>0.31923761265063721</v>
      </c>
      <c r="BD604" s="14">
        <f t="shared" si="476"/>
        <v>0.32502606430010988</v>
      </c>
      <c r="BE604" s="14">
        <f t="shared" si="476"/>
        <v>0.3367922810850173</v>
      </c>
      <c r="BF604" s="29">
        <f t="shared" si="476"/>
        <v>0.3481127132514798</v>
      </c>
      <c r="BG604" s="211">
        <f t="shared" si="476"/>
        <v>0.32993464136523343</v>
      </c>
    </row>
    <row r="605" spans="37:59" ht="15.75" thickBot="1" x14ac:dyDescent="0.3">
      <c r="AK605" s="15" t="s">
        <v>485</v>
      </c>
      <c r="AL605" s="460">
        <f>AL597/AL602*100</f>
        <v>33.545288623522424</v>
      </c>
      <c r="AM605" s="460">
        <f t="shared" ref="AM605:BG605" si="477">AM597/AM602*100</f>
        <v>31.272888815104366</v>
      </c>
      <c r="AN605" s="460">
        <f t="shared" si="477"/>
        <v>34.832511669976583</v>
      </c>
      <c r="AO605" s="460">
        <f t="shared" si="477"/>
        <v>34.914340574176819</v>
      </c>
      <c r="AP605" s="460">
        <f t="shared" si="477"/>
        <v>30.449375970141311</v>
      </c>
      <c r="AQ605" s="460">
        <f t="shared" si="477"/>
        <v>28.499325372650734</v>
      </c>
      <c r="AR605" s="460">
        <f t="shared" si="477"/>
        <v>33.372857836561529</v>
      </c>
      <c r="AS605" s="460">
        <f t="shared" si="477"/>
        <v>35.354967458114295</v>
      </c>
      <c r="AT605" s="460">
        <f t="shared" si="477"/>
        <v>32.288853265599748</v>
      </c>
      <c r="AU605" s="460">
        <f t="shared" si="477"/>
        <v>32.072920870798349</v>
      </c>
      <c r="AV605" s="460">
        <f t="shared" si="477"/>
        <v>26.626453188415766</v>
      </c>
      <c r="AW605" s="460">
        <f t="shared" si="477"/>
        <v>30.939448194656151</v>
      </c>
      <c r="AX605" s="460">
        <f t="shared" si="477"/>
        <v>34.308502740808052</v>
      </c>
      <c r="AY605" s="460">
        <f t="shared" si="477"/>
        <v>29.013793858764259</v>
      </c>
      <c r="AZ605" s="460">
        <f t="shared" si="477"/>
        <v>29.561285017912724</v>
      </c>
      <c r="BA605" s="460">
        <f t="shared" si="477"/>
        <v>30.141124973923354</v>
      </c>
      <c r="BB605" s="461">
        <f t="shared" si="477"/>
        <v>31.039956835166127</v>
      </c>
      <c r="BC605" s="403">
        <f t="shared" si="477"/>
        <v>30.808486333697125</v>
      </c>
      <c r="BD605" s="403">
        <f t="shared" si="477"/>
        <v>27.604403311344427</v>
      </c>
      <c r="BE605" s="403">
        <f t="shared" si="477"/>
        <v>26.471738441518163</v>
      </c>
      <c r="BF605" s="404">
        <f t="shared" si="477"/>
        <v>24.563520837287317</v>
      </c>
      <c r="BG605" s="463">
        <f t="shared" si="477"/>
        <v>24.26002329519001</v>
      </c>
    </row>
    <row r="606" spans="37:59" ht="15.75" thickBot="1" x14ac:dyDescent="0.3">
      <c r="AK606" s="325" t="s">
        <v>26</v>
      </c>
      <c r="AL606" s="464">
        <v>825056</v>
      </c>
      <c r="AM606" s="465">
        <v>848204</v>
      </c>
      <c r="AN606" s="465">
        <v>924696</v>
      </c>
      <c r="AO606" s="465">
        <v>985514</v>
      </c>
      <c r="AP606" s="465">
        <v>997791</v>
      </c>
      <c r="AQ606" s="465">
        <v>1005984</v>
      </c>
      <c r="AR606" s="465">
        <v>1073238</v>
      </c>
      <c r="AS606" s="465">
        <v>1070624</v>
      </c>
      <c r="AT606" s="465">
        <v>1030760</v>
      </c>
      <c r="AU606" s="465">
        <v>1072544</v>
      </c>
      <c r="AV606" s="465">
        <v>1109892</v>
      </c>
      <c r="AW606" s="636">
        <v>1163376</v>
      </c>
      <c r="AX606" s="636">
        <v>1160339</v>
      </c>
      <c r="AY606" s="636">
        <v>1205011</v>
      </c>
      <c r="AZ606" s="636">
        <v>1233423</v>
      </c>
      <c r="BA606" s="636">
        <v>1292983</v>
      </c>
      <c r="BB606" s="665">
        <v>1269580</v>
      </c>
      <c r="BC606" s="466">
        <v>1292276.71</v>
      </c>
      <c r="BD606" s="465">
        <v>1306049</v>
      </c>
      <c r="BE606" s="465">
        <v>1405757</v>
      </c>
      <c r="BF606" s="466">
        <v>1431391</v>
      </c>
      <c r="BG606" s="467">
        <v>1435198</v>
      </c>
    </row>
    <row r="607" spans="37:59" ht="15.75" thickBot="1" x14ac:dyDescent="0.3">
      <c r="AK607" s="336" t="s">
        <v>552</v>
      </c>
      <c r="AL607" s="9">
        <f>AL600/AL606*100</f>
        <v>15.709061487182687</v>
      </c>
      <c r="AM607" s="9">
        <f t="shared" ref="AM607:AW607" si="478">AM600/AM606*100</f>
        <v>14.477124138768504</v>
      </c>
      <c r="AN607" s="9">
        <f t="shared" si="478"/>
        <v>15.768576446637597</v>
      </c>
      <c r="AO607" s="9">
        <f t="shared" si="478"/>
        <v>15.076497071085951</v>
      </c>
      <c r="AP607" s="9">
        <f t="shared" si="478"/>
        <v>12.087795606367466</v>
      </c>
      <c r="AQ607" s="9">
        <f t="shared" si="478"/>
        <v>10.95782793467731</v>
      </c>
      <c r="AR607" s="9">
        <f t="shared" si="478"/>
        <v>13.47865378426639</v>
      </c>
      <c r="AS607" s="9">
        <f t="shared" si="478"/>
        <v>15.298610650741065</v>
      </c>
      <c r="AT607" s="9">
        <f t="shared" si="478"/>
        <v>14.309481547595951</v>
      </c>
      <c r="AU607" s="9">
        <f t="shared" si="478"/>
        <v>13.751976608885045</v>
      </c>
      <c r="AV607" s="337">
        <f t="shared" si="478"/>
        <v>11.23884125662677</v>
      </c>
      <c r="AW607" s="666">
        <f t="shared" si="478"/>
        <v>13.26475705189036</v>
      </c>
      <c r="AX607" s="666">
        <f>AX600/AX606*100</f>
        <v>15.219603926094011</v>
      </c>
      <c r="AY607" s="666">
        <f>AY600/AY606*100</f>
        <v>12.640548509515682</v>
      </c>
      <c r="AZ607" s="666">
        <f>AZ600/AZ606*100</f>
        <v>12.349372437517381</v>
      </c>
      <c r="BA607" s="666">
        <f t="shared" ref="BA607:BG607" si="479">BA600/BA606*100</f>
        <v>12.846649955954565</v>
      </c>
      <c r="BB607" s="337">
        <f t="shared" si="479"/>
        <v>13.473195860048204</v>
      </c>
      <c r="BC607" s="337">
        <f t="shared" si="479"/>
        <v>13.468400277832139</v>
      </c>
      <c r="BD607" s="337">
        <f t="shared" si="479"/>
        <v>11.342836294809766</v>
      </c>
      <c r="BE607" s="337">
        <f t="shared" si="479"/>
        <v>11.313477364864625</v>
      </c>
      <c r="BF607" s="337">
        <f t="shared" si="479"/>
        <v>10.72886444025427</v>
      </c>
      <c r="BG607" s="192">
        <f t="shared" si="479"/>
        <v>10.635257295509051</v>
      </c>
    </row>
    <row r="609" spans="37:49" ht="15.75" thickBot="1" x14ac:dyDescent="0.3"/>
    <row r="610" spans="37:49" ht="15.75" thickBot="1" x14ac:dyDescent="0.3">
      <c r="AK610" s="1109" t="s">
        <v>553</v>
      </c>
      <c r="AL610" s="1110"/>
      <c r="AM610" s="1110"/>
      <c r="AN610" s="1110"/>
      <c r="AO610" s="1110"/>
      <c r="AP610" s="1110"/>
      <c r="AQ610" s="1110"/>
      <c r="AR610" s="1110"/>
      <c r="AS610" s="1110"/>
      <c r="AT610" s="1110"/>
      <c r="AU610" s="1110"/>
      <c r="AV610" s="1110"/>
      <c r="AW610" s="1111"/>
    </row>
    <row r="611" spans="37:49" ht="15.75" thickBot="1" x14ac:dyDescent="0.3">
      <c r="AK611" s="102" t="s">
        <v>544</v>
      </c>
      <c r="AL611" s="257" t="s">
        <v>235</v>
      </c>
      <c r="AM611" s="257" t="s">
        <v>236</v>
      </c>
      <c r="AN611" s="257" t="s">
        <v>237</v>
      </c>
      <c r="AO611" s="257" t="s">
        <v>238</v>
      </c>
      <c r="AP611" s="257" t="s">
        <v>239</v>
      </c>
      <c r="AQ611" s="257" t="s">
        <v>240</v>
      </c>
      <c r="AR611" s="257" t="s">
        <v>241</v>
      </c>
      <c r="AS611" s="3" t="s">
        <v>242</v>
      </c>
      <c r="AT611" s="3" t="s">
        <v>243</v>
      </c>
      <c r="AU611" s="3" t="s">
        <v>244</v>
      </c>
      <c r="AV611" s="3" t="s">
        <v>245</v>
      </c>
      <c r="AW611" s="3" t="s">
        <v>246</v>
      </c>
    </row>
    <row r="612" spans="37:49" x14ac:dyDescent="0.25">
      <c r="AK612" s="24" t="s">
        <v>332</v>
      </c>
      <c r="AL612" s="245">
        <f>AP580/AL580*100-100</f>
        <v>37.220759987120971</v>
      </c>
      <c r="AM612" s="245">
        <f t="shared" ref="AM612:AO613" si="480">AQ580/AM580*100-100</f>
        <v>45.500258380581215</v>
      </c>
      <c r="AN612" s="245">
        <f t="shared" si="480"/>
        <v>59.114577208795112</v>
      </c>
      <c r="AO612" s="245">
        <f t="shared" si="480"/>
        <v>36.998937536067928</v>
      </c>
      <c r="AP612" s="245">
        <f>AU580/AP580*100-100</f>
        <v>-10.268100261487675</v>
      </c>
      <c r="AQ612" s="245">
        <f t="shared" ref="AQ612:AS613" si="481">AV580/AQ580*100-100</f>
        <v>-7.8888818677781103</v>
      </c>
      <c r="AR612" s="245">
        <f t="shared" si="481"/>
        <v>-17.551361325813176</v>
      </c>
      <c r="AS612" s="245">
        <f>AX580/AS580*100-100</f>
        <v>12.689981433144965</v>
      </c>
      <c r="AT612" s="246">
        <f>AY580/AU580*100-100</f>
        <v>57.128056361375883</v>
      </c>
      <c r="AU612" s="246">
        <f t="shared" ref="AU612:AW613" si="482">AZ580/AV580*100-100</f>
        <v>34.302743070515561</v>
      </c>
      <c r="AV612" s="246">
        <f t="shared" si="482"/>
        <v>35.13098001386669</v>
      </c>
      <c r="AW612" s="246">
        <f t="shared" si="482"/>
        <v>44.663467773310856</v>
      </c>
    </row>
    <row r="613" spans="37:49" ht="15.75" thickBot="1" x14ac:dyDescent="0.3">
      <c r="AK613" s="493" t="s">
        <v>333</v>
      </c>
      <c r="AL613" s="494">
        <f>AP581/AL581*100-100</f>
        <v>8.2214755172399521</v>
      </c>
      <c r="AM613" s="494">
        <f t="shared" si="480"/>
        <v>0.4544710726662089</v>
      </c>
      <c r="AN613" s="494">
        <f t="shared" si="480"/>
        <v>-4.4571768160592171</v>
      </c>
      <c r="AO613" s="494">
        <f t="shared" si="480"/>
        <v>22.600326747077176</v>
      </c>
      <c r="AP613" s="494">
        <f>AU581/AP581*100-100</f>
        <v>-9.7322030119650691</v>
      </c>
      <c r="AQ613" s="494">
        <f t="shared" si="481"/>
        <v>-0.79269289186333936</v>
      </c>
      <c r="AR613" s="494">
        <f t="shared" si="481"/>
        <v>7.2540912853064725</v>
      </c>
      <c r="AS613" s="494">
        <f t="shared" si="481"/>
        <v>-6.4804768525162331</v>
      </c>
      <c r="AT613" s="533">
        <f>AY581/AU581*100-100</f>
        <v>28.433975692543527</v>
      </c>
      <c r="AU613" s="533">
        <f t="shared" si="482"/>
        <v>27.239257350234041</v>
      </c>
      <c r="AV613" s="533">
        <f t="shared" si="482"/>
        <v>6.9378449453166411</v>
      </c>
      <c r="AW613" s="533">
        <f t="shared" si="482"/>
        <v>-4.0496884053440141</v>
      </c>
    </row>
    <row r="614" spans="37:49" ht="15.75" thickBot="1" x14ac:dyDescent="0.3">
      <c r="AK614" s="431" t="s">
        <v>362</v>
      </c>
      <c r="AL614" s="621">
        <f>AP584/AL584*100-100</f>
        <v>14.242282873878764</v>
      </c>
      <c r="AM614" s="621">
        <f t="shared" ref="AM614:AO614" si="483">AQ584/AM584*100-100</f>
        <v>10.095868328359714</v>
      </c>
      <c r="AN614" s="621">
        <f t="shared" si="483"/>
        <v>9.9278975371870786</v>
      </c>
      <c r="AO614" s="621">
        <f t="shared" si="483"/>
        <v>25.909388138770552</v>
      </c>
      <c r="AP614" s="621">
        <f>AU584/AP584*100-100</f>
        <v>-9.8658446914595288</v>
      </c>
      <c r="AQ614" s="621">
        <f t="shared" ref="AQ614:AS614" si="484">AV584/AQ584*100-100</f>
        <v>-2.7999532679371697</v>
      </c>
      <c r="AR614" s="621">
        <f t="shared" si="484"/>
        <v>-0.87041763411163231</v>
      </c>
      <c r="AS614" s="621">
        <f t="shared" si="484"/>
        <v>-1.6867220879811811</v>
      </c>
      <c r="AT614" s="622">
        <f>AY584/AU584*100-100</f>
        <v>35.557750478424595</v>
      </c>
      <c r="AU614" s="622">
        <f t="shared" ref="AU614:AW614" si="485">AZ584/AV584*100-100</f>
        <v>29.132660917770238</v>
      </c>
      <c r="AV614" s="622">
        <f t="shared" si="485"/>
        <v>14.618062969106703</v>
      </c>
      <c r="AW614" s="622">
        <f t="shared" si="485"/>
        <v>9.9127965326771346</v>
      </c>
    </row>
    <row r="615" spans="37:49" ht="15.75" thickBot="1" x14ac:dyDescent="0.3">
      <c r="AK615" s="157" t="s">
        <v>549</v>
      </c>
      <c r="AL615" s="217" t="s">
        <v>235</v>
      </c>
      <c r="AM615" s="217" t="s">
        <v>236</v>
      </c>
      <c r="AN615" s="217" t="s">
        <v>237</v>
      </c>
      <c r="AO615" s="217" t="s">
        <v>238</v>
      </c>
      <c r="AP615" s="217" t="s">
        <v>239</v>
      </c>
      <c r="AQ615" s="217" t="s">
        <v>240</v>
      </c>
      <c r="AR615" s="217" t="s">
        <v>241</v>
      </c>
      <c r="AS615" s="3" t="s">
        <v>242</v>
      </c>
      <c r="AT615" s="3" t="s">
        <v>243</v>
      </c>
      <c r="AU615" s="3" t="s">
        <v>244</v>
      </c>
      <c r="AV615" s="3" t="s">
        <v>245</v>
      </c>
      <c r="AW615" s="3" t="s">
        <v>246</v>
      </c>
    </row>
    <row r="616" spans="37:49" x14ac:dyDescent="0.25">
      <c r="AK616" s="24" t="s">
        <v>332</v>
      </c>
      <c r="AL616" s="231">
        <f>AP596/AL596*100-100</f>
        <v>19.459690896685203</v>
      </c>
      <c r="AM616" s="231">
        <f t="shared" ref="AM616:AO617" si="486">AQ596/AM596*100-100</f>
        <v>7.6921762836089016</v>
      </c>
      <c r="AN616" s="231">
        <f t="shared" si="486"/>
        <v>76.517793836648906</v>
      </c>
      <c r="AO616" s="231">
        <f t="shared" si="486"/>
        <v>1.692553368656192</v>
      </c>
      <c r="AP616" s="231">
        <f>AU596/AP596*100-100</f>
        <v>102.73992012963885</v>
      </c>
      <c r="AQ616" s="231">
        <f t="shared" ref="AQ616:AS617" si="487">AV596/AQ596*100-100</f>
        <v>-6.4690964082853242</v>
      </c>
      <c r="AR616" s="231">
        <f t="shared" si="487"/>
        <v>-47.425802543912774</v>
      </c>
      <c r="AS616" s="231">
        <f t="shared" si="487"/>
        <v>181.42340315567361</v>
      </c>
      <c r="AT616" s="534">
        <f>AY596/AU596*100-100</f>
        <v>-36.328502415458942</v>
      </c>
      <c r="AU616" s="534">
        <f t="shared" ref="AU616:AW617" si="488">AZ596/AV596*100-100</f>
        <v>50.28506271379706</v>
      </c>
      <c r="AV616" s="534">
        <f t="shared" si="488"/>
        <v>60.599078341013836</v>
      </c>
      <c r="AW616" s="534">
        <f t="shared" si="488"/>
        <v>-41.676792223572299</v>
      </c>
    </row>
    <row r="617" spans="37:49" ht="15.75" thickBot="1" x14ac:dyDescent="0.3">
      <c r="AK617" s="493" t="s">
        <v>333</v>
      </c>
      <c r="AL617" s="480">
        <f>AP597/AL597*100-100</f>
        <v>-7.117408336326946</v>
      </c>
      <c r="AM617" s="480">
        <f t="shared" si="486"/>
        <v>-10.357628875387348</v>
      </c>
      <c r="AN617" s="480">
        <f t="shared" si="486"/>
        <v>-1.2900990262096457</v>
      </c>
      <c r="AO617" s="480">
        <f t="shared" si="486"/>
        <v>10.303240407239713</v>
      </c>
      <c r="AP617" s="480">
        <f>AU597/AP597*100-100</f>
        <v>21.603890182884911</v>
      </c>
      <c r="AQ617" s="480">
        <f t="shared" si="487"/>
        <v>13.326761469552764</v>
      </c>
      <c r="AR617" s="480">
        <f t="shared" si="487"/>
        <v>7.3031132698124566</v>
      </c>
      <c r="AS617" s="480">
        <f t="shared" si="487"/>
        <v>6.5712187096120545</v>
      </c>
      <c r="AT617" s="669">
        <f>AY597/AU597*100-100</f>
        <v>3.8342524720476518</v>
      </c>
      <c r="AU617" s="669">
        <f t="shared" si="488"/>
        <v>21.911482133341948</v>
      </c>
      <c r="AV617" s="669">
        <f t="shared" si="488"/>
        <v>7.3378472606890881</v>
      </c>
      <c r="AW617" s="669">
        <f t="shared" si="488"/>
        <v>-2.4084428211209001</v>
      </c>
    </row>
    <row r="618" spans="37:49" ht="15.75" thickBot="1" x14ac:dyDescent="0.3">
      <c r="AK618" s="431" t="s">
        <v>363</v>
      </c>
      <c r="AL618" s="623">
        <f>AP600/AL600*100-100</f>
        <v>-6.9421480167894885</v>
      </c>
      <c r="AM618" s="623">
        <f t="shared" ref="AM618:AO618" si="489">AQ600/AM600*100-100</f>
        <v>-10.229646486157492</v>
      </c>
      <c r="AN618" s="623">
        <f t="shared" si="489"/>
        <v>-0.79099534889056144</v>
      </c>
      <c r="AO618" s="623">
        <f t="shared" si="489"/>
        <v>10.236577381321155</v>
      </c>
      <c r="AP618" s="623">
        <f>AU600/AP600*100-100</f>
        <v>22.290734228639295</v>
      </c>
      <c r="AQ618" s="623">
        <f t="shared" ref="AQ618:AS618" si="490">AV600/AQ600*100-100</f>
        <v>13.158376531890866</v>
      </c>
      <c r="AR618" s="623">
        <f t="shared" si="490"/>
        <v>6.6784853986751216</v>
      </c>
      <c r="AS618" s="623">
        <f t="shared" si="490"/>
        <v>7.8199865671574145</v>
      </c>
      <c r="AT618" s="624">
        <f>AY600/AU600*100-100</f>
        <v>3.270597168736785</v>
      </c>
      <c r="AU618" s="624">
        <f t="shared" ref="AU618:AW618" si="491">AZ600/AV600*100-100</f>
        <v>22.11096770055876</v>
      </c>
      <c r="AV618" s="624">
        <f t="shared" si="491"/>
        <v>7.6374263700516423</v>
      </c>
      <c r="AW618" s="624">
        <f t="shared" si="491"/>
        <v>-3.1404481339078956</v>
      </c>
    </row>
    <row r="619" spans="37:49" ht="15.75" thickBot="1" x14ac:dyDescent="0.3">
      <c r="AW619" s="32"/>
    </row>
    <row r="620" spans="37:49" ht="15.75" thickBot="1" x14ac:dyDescent="0.3">
      <c r="AK620" s="1109" t="s">
        <v>554</v>
      </c>
      <c r="AL620" s="1110"/>
      <c r="AM620" s="1110"/>
      <c r="AN620" s="1110"/>
      <c r="AO620" s="1110"/>
      <c r="AP620" s="1110"/>
      <c r="AQ620" s="1110"/>
      <c r="AR620" s="1110"/>
      <c r="AS620" s="1110"/>
      <c r="AT620" s="1110"/>
      <c r="AU620" s="1110"/>
      <c r="AV620" s="1110"/>
      <c r="AW620" s="1111"/>
    </row>
    <row r="621" spans="37:49" ht="15.75" thickBot="1" x14ac:dyDescent="0.3">
      <c r="AK621" s="102" t="s">
        <v>544</v>
      </c>
      <c r="AL621" s="257" t="s">
        <v>269</v>
      </c>
      <c r="AM621" s="257" t="s">
        <v>270</v>
      </c>
      <c r="AN621" s="257" t="s">
        <v>271</v>
      </c>
      <c r="AO621" s="257" t="s">
        <v>272</v>
      </c>
      <c r="AP621" s="257" t="s">
        <v>273</v>
      </c>
      <c r="AQ621" s="257" t="s">
        <v>274</v>
      </c>
      <c r="AR621" s="257" t="s">
        <v>275</v>
      </c>
      <c r="AS621" s="257" t="s">
        <v>276</v>
      </c>
      <c r="AT621" s="3" t="s">
        <v>277</v>
      </c>
      <c r="AU621" s="3" t="s">
        <v>278</v>
      </c>
      <c r="AV621" s="3" t="s">
        <v>279</v>
      </c>
      <c r="AW621" s="3" t="s">
        <v>280</v>
      </c>
    </row>
    <row r="622" spans="37:49" x14ac:dyDescent="0.25">
      <c r="AK622" s="24" t="s">
        <v>342</v>
      </c>
      <c r="AL622" s="245">
        <f>AP580/AO580*100-100</f>
        <v>7.6793086362713296</v>
      </c>
      <c r="AM622" s="245">
        <f t="shared" ref="AM622:AO623" si="492">AQ580/AP580*100-100</f>
        <v>12.443375069526155</v>
      </c>
      <c r="AN622" s="245">
        <f t="shared" si="492"/>
        <v>33.062882472014763</v>
      </c>
      <c r="AO622" s="245">
        <f t="shared" si="492"/>
        <v>-14.965700045391046</v>
      </c>
      <c r="AP622" s="245">
        <f>AU580/AS580*100-100</f>
        <v>-29.471942627887742</v>
      </c>
      <c r="AQ622" s="245">
        <f>AV580/AU580*100-100</f>
        <v>15.424782428512216</v>
      </c>
      <c r="AR622" s="245">
        <f t="shared" ref="AR622:AW623" si="493">AW580/AV580*100-100</f>
        <v>19.104552635358331</v>
      </c>
      <c r="AS622" s="245">
        <f t="shared" si="493"/>
        <v>16.224037620956807</v>
      </c>
      <c r="AT622" s="245">
        <f t="shared" si="493"/>
        <v>-1.6599662819348993</v>
      </c>
      <c r="AU622" s="245">
        <f t="shared" si="493"/>
        <v>-1.3424765923776789</v>
      </c>
      <c r="AV622" s="245">
        <f t="shared" si="493"/>
        <v>19.83906325188471</v>
      </c>
      <c r="AW622" s="246">
        <f t="shared" si="493"/>
        <v>24.422780913288861</v>
      </c>
    </row>
    <row r="623" spans="37:49" ht="15.75" thickBot="1" x14ac:dyDescent="0.3">
      <c r="AK623" s="493" t="s">
        <v>343</v>
      </c>
      <c r="AL623" s="365">
        <f>AP581/AO581*100-100</f>
        <v>-3.2873407799547891</v>
      </c>
      <c r="AM623" s="365">
        <f t="shared" si="492"/>
        <v>-5.2898821256262636</v>
      </c>
      <c r="AN623" s="365">
        <f t="shared" si="492"/>
        <v>7.7600483785536625</v>
      </c>
      <c r="AO623" s="365">
        <f t="shared" si="492"/>
        <v>24.209309641250925</v>
      </c>
      <c r="AP623" s="365">
        <f>AU581/AS581*100-100</f>
        <v>-28.792696395842427</v>
      </c>
      <c r="AQ623" s="365">
        <f>AV581/AU581*100-100</f>
        <v>4.0895653126026446</v>
      </c>
      <c r="AR623" s="365">
        <f t="shared" si="493"/>
        <v>16.500552253721139</v>
      </c>
      <c r="AS623" s="365">
        <f t="shared" si="493"/>
        <v>8.3035180189839934</v>
      </c>
      <c r="AT623" s="365">
        <f t="shared" si="493"/>
        <v>-2.2082577794451765</v>
      </c>
      <c r="AU623" s="365">
        <f t="shared" si="493"/>
        <v>3.1213035092019226</v>
      </c>
      <c r="AV623" s="365">
        <f t="shared" si="493"/>
        <v>-2.0874669312169374</v>
      </c>
      <c r="AW623" s="538">
        <f t="shared" si="493"/>
        <v>-2.8243340228817431</v>
      </c>
    </row>
    <row r="624" spans="37:49" ht="15.75" thickBot="1" x14ac:dyDescent="0.3">
      <c r="AK624" s="431" t="s">
        <v>362</v>
      </c>
      <c r="AL624" s="417">
        <f>AP584/AO584*100-100</f>
        <v>-0.76700623440142124</v>
      </c>
      <c r="AM624" s="417">
        <f t="shared" ref="AM624:AO624" si="494">AQ584/AP584*100-100</f>
        <v>-0.86757490800518156</v>
      </c>
      <c r="AN624" s="417">
        <f t="shared" si="494"/>
        <v>14.91732342443521</v>
      </c>
      <c r="AO624" s="417">
        <f t="shared" si="494"/>
        <v>11.378351843095771</v>
      </c>
      <c r="AP624" s="417">
        <f>AU584/AS584*100-100</f>
        <v>-28.962548353090355</v>
      </c>
      <c r="AQ624" s="417">
        <f>AV584/AU584*100-100</f>
        <v>6.9037183365228287</v>
      </c>
      <c r="AR624" s="417">
        <f t="shared" ref="AR624:AW624" si="495">AW584/AV584*100-100</f>
        <v>17.198567908838939</v>
      </c>
      <c r="AS624" s="417">
        <f t="shared" si="495"/>
        <v>10.461182189958436</v>
      </c>
      <c r="AT624" s="417">
        <f t="shared" si="495"/>
        <v>-2.0511028673808482</v>
      </c>
      <c r="AU624" s="417">
        <f t="shared" si="495"/>
        <v>1.8367563793129591</v>
      </c>
      <c r="AV624" s="417">
        <f t="shared" si="495"/>
        <v>4.0253700418859069</v>
      </c>
      <c r="AW624" s="625">
        <f t="shared" si="495"/>
        <v>5.9265627798674529</v>
      </c>
    </row>
    <row r="625" spans="27:64" ht="15.75" thickBot="1" x14ac:dyDescent="0.3">
      <c r="AK625" s="157" t="s">
        <v>549</v>
      </c>
      <c r="AL625" s="257" t="s">
        <v>269</v>
      </c>
      <c r="AM625" s="257" t="s">
        <v>270</v>
      </c>
      <c r="AN625" s="257" t="s">
        <v>271</v>
      </c>
      <c r="AO625" s="257" t="s">
        <v>272</v>
      </c>
      <c r="AP625" s="257" t="s">
        <v>273</v>
      </c>
      <c r="AQ625" s="257" t="s">
        <v>274</v>
      </c>
      <c r="AR625" s="257" t="s">
        <v>275</v>
      </c>
      <c r="AS625" s="257" t="s">
        <v>276</v>
      </c>
      <c r="AT625" s="3" t="s">
        <v>277</v>
      </c>
      <c r="AU625" s="3" t="s">
        <v>278</v>
      </c>
      <c r="AV625" s="3" t="s">
        <v>279</v>
      </c>
      <c r="AW625" s="3" t="s">
        <v>280</v>
      </c>
    </row>
    <row r="626" spans="27:64" x14ac:dyDescent="0.25">
      <c r="AK626" s="24" t="s">
        <v>342</v>
      </c>
      <c r="AL626" s="245">
        <f>AP596/AO596*100-100</f>
        <v>-11.239322109625746</v>
      </c>
      <c r="AM626" s="245">
        <f t="shared" ref="AM626:AO627" si="496">AQ596/AP596*100-100</f>
        <v>-8.163909164774438</v>
      </c>
      <c r="AN626" s="245">
        <f t="shared" si="496"/>
        <v>76.076991824311193</v>
      </c>
      <c r="AO626" s="245">
        <f t="shared" si="496"/>
        <v>-29.147930042398542</v>
      </c>
      <c r="AP626" s="245">
        <f>AU596/AS596*100-100</f>
        <v>76.958215228506788</v>
      </c>
      <c r="AQ626" s="245">
        <f>AV596/AU596*100-100</f>
        <v>-57.632850241545889</v>
      </c>
      <c r="AR626" s="245">
        <f t="shared" ref="AR626:AW627" si="497">AW596/AV596*100-100</f>
        <v>-1.0262257696693382</v>
      </c>
      <c r="AS626" s="245">
        <f t="shared" si="497"/>
        <v>279.26267281105993</v>
      </c>
      <c r="AT626" s="245">
        <f t="shared" si="497"/>
        <v>-59.963547995139734</v>
      </c>
      <c r="AU626" s="245">
        <f t="shared" si="497"/>
        <v>0</v>
      </c>
      <c r="AV626" s="245">
        <f t="shared" si="497"/>
        <v>5.7663125948406559</v>
      </c>
      <c r="AW626" s="246">
        <f t="shared" si="497"/>
        <v>37.733142037302741</v>
      </c>
    </row>
    <row r="627" spans="27:64" ht="15.75" thickBot="1" x14ac:dyDescent="0.3">
      <c r="AK627" s="493" t="s">
        <v>343</v>
      </c>
      <c r="AL627" s="365">
        <f>AP597/AO597*100-100</f>
        <v>-18.883969650457871</v>
      </c>
      <c r="AM627" s="365">
        <f t="shared" si="496"/>
        <v>-8.6074026953825467</v>
      </c>
      <c r="AN627" s="365">
        <f t="shared" si="496"/>
        <v>30.843390747109936</v>
      </c>
      <c r="AO627" s="365">
        <f t="shared" si="496"/>
        <v>13.715266114740061</v>
      </c>
      <c r="AP627" s="365">
        <f>AU597/AS597*100-100</f>
        <v>-10.573571453755221</v>
      </c>
      <c r="AQ627" s="365">
        <f>AV597/AU597*100-100</f>
        <v>-14.828160026405186</v>
      </c>
      <c r="AR627" s="365">
        <f t="shared" si="497"/>
        <v>23.888682566081613</v>
      </c>
      <c r="AS627" s="365">
        <f t="shared" si="497"/>
        <v>12.939635453662717</v>
      </c>
      <c r="AT627" s="365">
        <f t="shared" si="497"/>
        <v>-12.870224514878231</v>
      </c>
      <c r="AU627" s="365">
        <f t="shared" si="497"/>
        <v>0</v>
      </c>
      <c r="AV627" s="365">
        <f t="shared" si="497"/>
        <v>9.0786876995006622</v>
      </c>
      <c r="AW627" s="538">
        <f t="shared" si="497"/>
        <v>2.6847022967500607</v>
      </c>
    </row>
    <row r="628" spans="27:64" ht="15.75" thickBot="1" x14ac:dyDescent="0.3">
      <c r="AK628" s="431" t="s">
        <v>363</v>
      </c>
      <c r="AL628" s="417">
        <f>AP600/AO600*100-100</f>
        <v>-18.824785599885701</v>
      </c>
      <c r="AM628" s="417">
        <f t="shared" ref="AM628:AO628" si="498">AQ600/AP600*100-100</f>
        <v>-8.6036483720439776</v>
      </c>
      <c r="AN628" s="417">
        <f t="shared" si="498"/>
        <v>31.228150889590779</v>
      </c>
      <c r="AO628" s="417">
        <f t="shared" si="498"/>
        <v>13.226063166578243</v>
      </c>
      <c r="AP628" s="417">
        <f>AU600/AS600*100-100</f>
        <v>-9.9484326711394289</v>
      </c>
      <c r="AQ628" s="417">
        <f>AV600/AU600*100-100</f>
        <v>-15.42889298692846</v>
      </c>
      <c r="AR628" s="417">
        <f t="shared" ref="AR628:AW628" si="499">AW600/AV600*100-100</f>
        <v>23.713513816849584</v>
      </c>
      <c r="AS628" s="417">
        <f t="shared" si="499"/>
        <v>14.437625956622327</v>
      </c>
      <c r="AT628" s="417">
        <f t="shared" si="499"/>
        <v>-13.74809596883334</v>
      </c>
      <c r="AU628" s="417">
        <f t="shared" si="499"/>
        <v>0</v>
      </c>
      <c r="AV628" s="417">
        <f t="shared" si="499"/>
        <v>9.0500262605041968</v>
      </c>
      <c r="AW628" s="625">
        <f t="shared" si="499"/>
        <v>2.9788386863730807</v>
      </c>
    </row>
    <row r="629" spans="27:64" x14ac:dyDescent="0.25">
      <c r="AY629" s="1"/>
    </row>
    <row r="630" spans="27:64" x14ac:dyDescent="0.25">
      <c r="AL630" s="1" t="e">
        <f>AQ638+AQ645</f>
        <v>#REF!</v>
      </c>
      <c r="AY630" s="1"/>
    </row>
    <row r="631" spans="27:64" x14ac:dyDescent="0.25">
      <c r="AL631" s="1">
        <f>AQ655+AQ662</f>
        <v>310195.48</v>
      </c>
      <c r="AY631" s="1"/>
    </row>
    <row r="632" spans="27:64" ht="15.75" thickBot="1" x14ac:dyDescent="0.3">
      <c r="AL632" s="27" t="e">
        <f>AL630/AL631*100-100</f>
        <v>#REF!</v>
      </c>
      <c r="AY632" s="1"/>
    </row>
    <row r="633" spans="27:64" ht="21.75" thickBot="1" x14ac:dyDescent="0.4">
      <c r="AA633" s="670"/>
      <c r="AB633" s="670"/>
      <c r="AC633" s="670"/>
      <c r="AD633" s="670"/>
      <c r="AE633" s="670"/>
      <c r="AF633" s="670"/>
      <c r="AG633" s="670"/>
      <c r="AH633" s="670"/>
      <c r="AI633" s="670"/>
      <c r="AJ633" s="670"/>
      <c r="AK633" s="1123" t="s">
        <v>555</v>
      </c>
      <c r="AL633" s="1124"/>
      <c r="AM633" s="1124"/>
      <c r="AN633" s="1124"/>
      <c r="AO633" s="1124"/>
      <c r="AP633" s="1124"/>
      <c r="AQ633" s="1124"/>
      <c r="AR633" s="1124"/>
      <c r="AS633" s="1124"/>
      <c r="AT633" s="1124"/>
      <c r="AU633" s="1124"/>
      <c r="AV633" s="1124"/>
      <c r="AW633" s="1124"/>
      <c r="AX633" s="1124"/>
      <c r="AY633" s="1124"/>
      <c r="AZ633" s="1124"/>
      <c r="BA633" s="1124"/>
      <c r="BB633" s="1124"/>
      <c r="BC633" s="1124"/>
      <c r="BD633" s="1124"/>
      <c r="BE633" s="1124"/>
      <c r="BF633" s="1124"/>
      <c r="BG633" s="1124"/>
      <c r="BH633" s="1124"/>
      <c r="BI633" s="1125"/>
      <c r="BJ633" s="670"/>
      <c r="BK633" s="670"/>
      <c r="BL633" s="670"/>
    </row>
    <row r="634" spans="27:64" ht="15.75" thickBot="1" x14ac:dyDescent="0.3"/>
    <row r="635" spans="27:64" ht="15.75" customHeight="1" thickBot="1" x14ac:dyDescent="0.3">
      <c r="AK635" s="1126" t="s">
        <v>556</v>
      </c>
      <c r="AL635" s="1129" t="s">
        <v>557</v>
      </c>
      <c r="AM635" s="1129"/>
      <c r="AN635" s="1129"/>
      <c r="AO635" s="1129"/>
      <c r="AP635" s="1129"/>
      <c r="AQ635" s="1129" t="s">
        <v>558</v>
      </c>
      <c r="AR635" s="1129"/>
      <c r="AS635" s="1129"/>
      <c r="AT635" s="1129"/>
      <c r="AU635" s="1129"/>
      <c r="AV635" s="1130" t="s">
        <v>559</v>
      </c>
      <c r="AW635" s="1131"/>
      <c r="AX635" s="1131"/>
      <c r="AY635" s="1131"/>
      <c r="AZ635" s="1132"/>
      <c r="BA635" s="1130" t="s">
        <v>52</v>
      </c>
      <c r="BB635" s="1131"/>
      <c r="BC635" s="1131"/>
      <c r="BD635" s="1131"/>
      <c r="BE635" s="1131"/>
      <c r="BF635" s="1131"/>
      <c r="BG635" s="1131"/>
      <c r="BH635" s="1131"/>
      <c r="BI635" s="1132"/>
      <c r="BJ635" s="100"/>
      <c r="BK635" s="100"/>
      <c r="BL635" s="100"/>
    </row>
    <row r="636" spans="27:64" ht="15.75" customHeight="1" thickBot="1" x14ac:dyDescent="0.3">
      <c r="AK636" s="1127"/>
      <c r="AL636" s="1133" t="s">
        <v>560</v>
      </c>
      <c r="AM636" s="1133"/>
      <c r="AN636" s="1133"/>
      <c r="AO636" s="1116" t="s">
        <v>561</v>
      </c>
      <c r="AP636" s="1116"/>
      <c r="AQ636" s="1133" t="s">
        <v>560</v>
      </c>
      <c r="AR636" s="1133"/>
      <c r="AS636" s="1133"/>
      <c r="AT636" s="1116" t="s">
        <v>561</v>
      </c>
      <c r="AU636" s="1116"/>
      <c r="AV636" s="1117" t="s">
        <v>560</v>
      </c>
      <c r="AW636" s="1118"/>
      <c r="AX636" s="1119"/>
      <c r="AY636" s="1120" t="s">
        <v>561</v>
      </c>
      <c r="AZ636" s="1121"/>
      <c r="BA636" s="1117" t="s">
        <v>560</v>
      </c>
      <c r="BB636" s="1118"/>
      <c r="BC636" s="1119"/>
      <c r="BD636" s="671"/>
      <c r="BE636" s="671"/>
      <c r="BF636" s="671"/>
      <c r="BG636" s="671"/>
      <c r="BH636" s="1120" t="s">
        <v>561</v>
      </c>
      <c r="BI636" s="1121"/>
      <c r="BJ636" s="100"/>
      <c r="BK636" s="1122"/>
      <c r="BL636" s="1122"/>
    </row>
    <row r="637" spans="27:64" ht="30.75" thickBot="1" x14ac:dyDescent="0.3">
      <c r="AK637" s="1128"/>
      <c r="AL637" s="672" t="s">
        <v>562</v>
      </c>
      <c r="AM637" s="672" t="s">
        <v>563</v>
      </c>
      <c r="AN637" s="672" t="s">
        <v>564</v>
      </c>
      <c r="AO637" s="672" t="s">
        <v>565</v>
      </c>
      <c r="AP637" s="672" t="s">
        <v>566</v>
      </c>
      <c r="AQ637" s="672" t="s">
        <v>562</v>
      </c>
      <c r="AR637" s="673" t="s">
        <v>563</v>
      </c>
      <c r="AS637" s="672" t="s">
        <v>564</v>
      </c>
      <c r="AT637" s="672" t="s">
        <v>567</v>
      </c>
      <c r="AU637" s="672" t="s">
        <v>566</v>
      </c>
      <c r="AV637" s="672" t="s">
        <v>562</v>
      </c>
      <c r="AW637" s="672" t="s">
        <v>563</v>
      </c>
      <c r="AX637" s="672" t="s">
        <v>564</v>
      </c>
      <c r="AY637" s="672" t="s">
        <v>565</v>
      </c>
      <c r="AZ637" s="672" t="s">
        <v>566</v>
      </c>
      <c r="BA637" s="672" t="s">
        <v>562</v>
      </c>
      <c r="BB637" s="672" t="s">
        <v>563</v>
      </c>
      <c r="BC637" s="672" t="s">
        <v>564</v>
      </c>
      <c r="BD637" s="672"/>
      <c r="BE637" s="672"/>
      <c r="BF637" s="672"/>
      <c r="BG637" s="672"/>
      <c r="BH637" s="672" t="s">
        <v>567</v>
      </c>
      <c r="BI637" s="672" t="s">
        <v>566</v>
      </c>
      <c r="BJ637" s="674"/>
      <c r="BK637" s="674"/>
      <c r="BL637" s="674"/>
    </row>
    <row r="638" spans="27:64" ht="15.75" thickBot="1" x14ac:dyDescent="0.3">
      <c r="AK638" s="675" t="s">
        <v>568</v>
      </c>
      <c r="AL638" s="676">
        <f>'[15]2019. I. Állományi'!Q17</f>
        <v>310092</v>
      </c>
      <c r="AM638" s="677">
        <f>AL638-AN638</f>
        <v>197030</v>
      </c>
      <c r="AN638" s="678">
        <f>'[15]2019. I. Állományi'!R17</f>
        <v>113062</v>
      </c>
      <c r="AO638" s="245">
        <f>AM638/AL638*100</f>
        <v>63.539207718999521</v>
      </c>
      <c r="AP638" s="221">
        <f>AN638/AL638*100</f>
        <v>36.460792281000479</v>
      </c>
      <c r="AQ638" s="676" t="e">
        <f>#REF!</f>
        <v>#REF!</v>
      </c>
      <c r="AR638" s="677" t="e">
        <f>AQ638-AS638</f>
        <v>#REF!</v>
      </c>
      <c r="AS638" s="678" t="e">
        <f>#REF!</f>
        <v>#REF!</v>
      </c>
      <c r="AT638" s="245" t="e">
        <f>AR638/AQ638*100</f>
        <v>#REF!</v>
      </c>
      <c r="AU638" s="221" t="e">
        <f>AS638/AQ638*100</f>
        <v>#REF!</v>
      </c>
      <c r="AV638" s="676"/>
      <c r="AW638" s="677"/>
      <c r="AX638" s="678"/>
      <c r="AY638" s="245"/>
      <c r="AZ638" s="492"/>
      <c r="BA638" s="219"/>
      <c r="BB638" s="220"/>
      <c r="BC638" s="549"/>
      <c r="BD638" s="549"/>
      <c r="BE638" s="549"/>
      <c r="BF638" s="549"/>
      <c r="BG638" s="549"/>
      <c r="BH638" s="245"/>
      <c r="BI638" s="221"/>
      <c r="BJ638" s="1"/>
      <c r="BK638" s="32"/>
      <c r="BL638" s="32"/>
    </row>
    <row r="639" spans="27:64" ht="15.75" thickBot="1" x14ac:dyDescent="0.3">
      <c r="AK639" s="675" t="s">
        <v>569</v>
      </c>
      <c r="AL639" s="4">
        <f>'[15]2019. I. Állományi'!Q59</f>
        <v>332572</v>
      </c>
      <c r="AM639" s="5">
        <f>AL639-AN639</f>
        <v>84135</v>
      </c>
      <c r="AN639" s="28">
        <f>'[15]2019. I. Állományi'!R59</f>
        <v>248437</v>
      </c>
      <c r="AO639" s="248">
        <f>AM639/AL639*100</f>
        <v>25.298281274430799</v>
      </c>
      <c r="AP639" s="414">
        <f>AN639/AL639*100</f>
        <v>74.701718725569194</v>
      </c>
      <c r="AQ639" s="4" t="e">
        <f>#REF!</f>
        <v>#REF!</v>
      </c>
      <c r="AR639" s="5" t="e">
        <f>AQ639-AS639</f>
        <v>#REF!</v>
      </c>
      <c r="AS639" s="28" t="e">
        <f>#REF!</f>
        <v>#REF!</v>
      </c>
      <c r="AT639" s="248" t="e">
        <f>AR639/AQ639*100</f>
        <v>#REF!</v>
      </c>
      <c r="AU639" s="414" t="e">
        <f>AS639/AQ639*100</f>
        <v>#REF!</v>
      </c>
      <c r="AV639" s="4"/>
      <c r="AW639" s="5"/>
      <c r="AX639" s="28"/>
      <c r="AY639" s="248"/>
      <c r="AZ639" s="679"/>
      <c r="BA639" s="222"/>
      <c r="BB639" s="223"/>
      <c r="BC639" s="450"/>
      <c r="BD639" s="450"/>
      <c r="BE639" s="450"/>
      <c r="BF639" s="450"/>
      <c r="BG639" s="450"/>
      <c r="BH639" s="248"/>
      <c r="BI639" s="414"/>
      <c r="BJ639" s="1"/>
      <c r="BK639" s="32"/>
      <c r="BL639" s="32"/>
    </row>
    <row r="640" spans="27:64" ht="15.75" thickBot="1" x14ac:dyDescent="0.3">
      <c r="AK640" s="654" t="s">
        <v>570</v>
      </c>
      <c r="AL640" s="387">
        <f>AL638+AL639</f>
        <v>642664</v>
      </c>
      <c r="AM640" s="388">
        <f>AL640-AN640</f>
        <v>281165</v>
      </c>
      <c r="AN640" s="389">
        <f>AN638+AN639</f>
        <v>361499</v>
      </c>
      <c r="AO640" s="680">
        <f>AM640/AL640*100</f>
        <v>43.749922198847294</v>
      </c>
      <c r="AP640" s="681">
        <f>AN640/AL640*100</f>
        <v>56.250077801152699</v>
      </c>
      <c r="AQ640" s="387" t="e">
        <f>AQ638+AQ639</f>
        <v>#REF!</v>
      </c>
      <c r="AR640" s="388" t="e">
        <f>AR638+AR639</f>
        <v>#REF!</v>
      </c>
      <c r="AS640" s="389" t="e">
        <f>AS638+AS639</f>
        <v>#REF!</v>
      </c>
      <c r="AT640" s="680" t="e">
        <f>AR640/AQ640*100</f>
        <v>#REF!</v>
      </c>
      <c r="AU640" s="681" t="e">
        <f>AS640/AQ640*100</f>
        <v>#REF!</v>
      </c>
      <c r="AV640" s="387"/>
      <c r="AW640" s="388"/>
      <c r="AX640" s="389"/>
      <c r="AY640" s="680"/>
      <c r="AZ640" s="682"/>
      <c r="BA640" s="683"/>
      <c r="BB640" s="684"/>
      <c r="BC640" s="685"/>
      <c r="BD640" s="685"/>
      <c r="BE640" s="685"/>
      <c r="BF640" s="685"/>
      <c r="BG640" s="685"/>
      <c r="BH640" s="680"/>
      <c r="BI640" s="681"/>
      <c r="BJ640" s="106"/>
      <c r="BK640" s="152"/>
      <c r="BL640" s="152"/>
    </row>
    <row r="641" spans="37:95" ht="15.75" thickBot="1" x14ac:dyDescent="0.3">
      <c r="AP641" s="32"/>
      <c r="AR641" s="1"/>
      <c r="AS641" s="27" t="e">
        <f>AS640/AN640*100-100</f>
        <v>#REF!</v>
      </c>
      <c r="AT641" s="32"/>
      <c r="AY641" s="32"/>
      <c r="AZ641" s="32"/>
      <c r="BA641" s="32"/>
      <c r="BK641" s="32"/>
    </row>
    <row r="642" spans="37:95" ht="15.75" customHeight="1" thickBot="1" x14ac:dyDescent="0.3">
      <c r="AK642" s="1134" t="s">
        <v>571</v>
      </c>
      <c r="AL642" s="1129" t="s">
        <v>557</v>
      </c>
      <c r="AM642" s="1129"/>
      <c r="AN642" s="1129"/>
      <c r="AO642" s="1129"/>
      <c r="AP642" s="1129"/>
      <c r="AQ642" s="1129" t="s">
        <v>558</v>
      </c>
      <c r="AR642" s="1129"/>
      <c r="AS642" s="1129"/>
      <c r="AT642" s="1129"/>
      <c r="AU642" s="1130"/>
      <c r="AV642" s="1130" t="s">
        <v>559</v>
      </c>
      <c r="AW642" s="1131"/>
      <c r="AX642" s="1131"/>
      <c r="AY642" s="1131"/>
      <c r="AZ642" s="1132"/>
      <c r="BA642" s="1130" t="s">
        <v>52</v>
      </c>
      <c r="BB642" s="1131"/>
      <c r="BC642" s="1131"/>
      <c r="BD642" s="1131"/>
      <c r="BE642" s="1131"/>
      <c r="BF642" s="1131"/>
      <c r="BG642" s="1131"/>
      <c r="BH642" s="1131"/>
      <c r="BI642" s="1132"/>
      <c r="BJ642" s="100"/>
      <c r="BK642" s="100"/>
      <c r="BL642" s="100"/>
    </row>
    <row r="643" spans="37:95" ht="15.75" customHeight="1" thickBot="1" x14ac:dyDescent="0.3">
      <c r="AK643" s="1135"/>
      <c r="AL643" s="1133" t="s">
        <v>560</v>
      </c>
      <c r="AM643" s="1133"/>
      <c r="AN643" s="1133"/>
      <c r="AO643" s="1116" t="s">
        <v>561</v>
      </c>
      <c r="AP643" s="1116"/>
      <c r="AQ643" s="1133" t="s">
        <v>560</v>
      </c>
      <c r="AR643" s="1133"/>
      <c r="AS643" s="1133"/>
      <c r="AT643" s="1116" t="s">
        <v>561</v>
      </c>
      <c r="AU643" s="1120"/>
      <c r="AV643" s="1117" t="s">
        <v>560</v>
      </c>
      <c r="AW643" s="1118"/>
      <c r="AX643" s="1119"/>
      <c r="AY643" s="1120" t="s">
        <v>561</v>
      </c>
      <c r="AZ643" s="1121"/>
      <c r="BA643" s="1117" t="s">
        <v>560</v>
      </c>
      <c r="BB643" s="1118"/>
      <c r="BC643" s="1119"/>
      <c r="BD643" s="671"/>
      <c r="BE643" s="671"/>
      <c r="BF643" s="671"/>
      <c r="BG643" s="671"/>
      <c r="BH643" s="1120" t="s">
        <v>561</v>
      </c>
      <c r="BI643" s="1121"/>
      <c r="BJ643" s="100"/>
      <c r="BK643" s="686"/>
      <c r="BL643" s="686"/>
    </row>
    <row r="644" spans="37:95" ht="30.75" thickBot="1" x14ac:dyDescent="0.3">
      <c r="AK644" s="1136"/>
      <c r="AL644" s="672" t="s">
        <v>562</v>
      </c>
      <c r="AM644" s="672" t="s">
        <v>563</v>
      </c>
      <c r="AN644" s="672" t="s">
        <v>564</v>
      </c>
      <c r="AO644" s="672" t="s">
        <v>565</v>
      </c>
      <c r="AP644" s="672" t="s">
        <v>566</v>
      </c>
      <c r="AQ644" s="672" t="s">
        <v>562</v>
      </c>
      <c r="AR644" s="672" t="s">
        <v>563</v>
      </c>
      <c r="AS644" s="672" t="s">
        <v>564</v>
      </c>
      <c r="AT644" s="672" t="s">
        <v>567</v>
      </c>
      <c r="AU644" s="687" t="s">
        <v>566</v>
      </c>
      <c r="AV644" s="672" t="s">
        <v>562</v>
      </c>
      <c r="AW644" s="672" t="s">
        <v>563</v>
      </c>
      <c r="AX644" s="672" t="s">
        <v>564</v>
      </c>
      <c r="AY644" s="672" t="s">
        <v>565</v>
      </c>
      <c r="AZ644" s="672" t="s">
        <v>566</v>
      </c>
      <c r="BA644" s="672" t="s">
        <v>562</v>
      </c>
      <c r="BB644" s="672" t="s">
        <v>563</v>
      </c>
      <c r="BC644" s="672" t="s">
        <v>564</v>
      </c>
      <c r="BD644" s="672"/>
      <c r="BE644" s="672"/>
      <c r="BF644" s="672"/>
      <c r="BG644" s="672"/>
      <c r="BH644" s="672" t="s">
        <v>567</v>
      </c>
      <c r="BI644" s="672" t="s">
        <v>566</v>
      </c>
      <c r="BJ644" s="674"/>
      <c r="BK644" s="674"/>
      <c r="BL644" s="674"/>
    </row>
    <row r="645" spans="37:95" ht="15.75" thickBot="1" x14ac:dyDescent="0.3">
      <c r="AK645" s="675" t="s">
        <v>568</v>
      </c>
      <c r="AL645" s="676">
        <f>'[15]2019. I. Állományi'!Q32</f>
        <v>4730</v>
      </c>
      <c r="AM645" s="677">
        <f>AL645-AN645</f>
        <v>2144</v>
      </c>
      <c r="AN645" s="678">
        <f>'[15]2019. I. Állományi'!R32</f>
        <v>2586</v>
      </c>
      <c r="AO645" s="245">
        <f>AM645/AL645*100</f>
        <v>45.327695560253702</v>
      </c>
      <c r="AP645" s="221">
        <f>AN645/AL645*100</f>
        <v>54.672304439746298</v>
      </c>
      <c r="AQ645" s="676" t="e">
        <f>#REF!</f>
        <v>#REF!</v>
      </c>
      <c r="AR645" s="677" t="e">
        <f>AQ645-AS645</f>
        <v>#REF!</v>
      </c>
      <c r="AS645" s="678" t="e">
        <f>#REF!</f>
        <v>#REF!</v>
      </c>
      <c r="AT645" s="245" t="e">
        <f>AR645/AQ645*100</f>
        <v>#REF!</v>
      </c>
      <c r="AU645" s="288" t="e">
        <f>AS645/AQ645*100</f>
        <v>#REF!</v>
      </c>
      <c r="AV645" s="676"/>
      <c r="AW645" s="677"/>
      <c r="AX645" s="678"/>
      <c r="AY645" s="245"/>
      <c r="AZ645" s="492"/>
      <c r="BA645" s="219"/>
      <c r="BB645" s="220"/>
      <c r="BC645" s="549"/>
      <c r="BD645" s="549"/>
      <c r="BE645" s="549"/>
      <c r="BF645" s="549"/>
      <c r="BG645" s="549"/>
      <c r="BH645" s="245"/>
      <c r="BI645" s="221"/>
      <c r="BJ645" s="1"/>
      <c r="BK645" s="32"/>
      <c r="BL645" s="32"/>
    </row>
    <row r="646" spans="37:95" ht="15.75" thickBot="1" x14ac:dyDescent="0.3">
      <c r="AK646" s="675" t="s">
        <v>572</v>
      </c>
      <c r="AL646" s="4">
        <f>'[15]2019. I. Állományi'!Q74</f>
        <v>512945</v>
      </c>
      <c r="AM646" s="5">
        <f>AL646-AN646</f>
        <v>186291</v>
      </c>
      <c r="AN646" s="28">
        <f>'[15]2019. I. Állományi'!R74</f>
        <v>326654</v>
      </c>
      <c r="AO646" s="248">
        <f>AM646/AL646*100</f>
        <v>36.317928822778271</v>
      </c>
      <c r="AP646" s="414">
        <f>AN646/AL646*100</f>
        <v>63.682071177221729</v>
      </c>
      <c r="AQ646" s="4" t="e">
        <f>#REF!</f>
        <v>#REF!</v>
      </c>
      <c r="AR646" s="5" t="e">
        <f>AQ646-AS646</f>
        <v>#REF!</v>
      </c>
      <c r="AS646" s="28" t="e">
        <f>#REF!</f>
        <v>#REF!</v>
      </c>
      <c r="AT646" s="248" t="e">
        <f>AR646/AQ646*100</f>
        <v>#REF!</v>
      </c>
      <c r="AU646" s="478" t="e">
        <f>AS646/AQ646*100</f>
        <v>#REF!</v>
      </c>
      <c r="AV646" s="4"/>
      <c r="AW646" s="5"/>
      <c r="AX646" s="28"/>
      <c r="AY646" s="248"/>
      <c r="AZ646" s="679"/>
      <c r="BA646" s="222"/>
      <c r="BB646" s="223"/>
      <c r="BC646" s="450"/>
      <c r="BD646" s="450"/>
      <c r="BE646" s="450"/>
      <c r="BF646" s="450"/>
      <c r="BG646" s="450"/>
      <c r="BH646" s="248"/>
      <c r="BI646" s="414"/>
      <c r="BJ646" s="1"/>
      <c r="BK646" s="32"/>
      <c r="BL646" s="32"/>
    </row>
    <row r="647" spans="37:95" ht="15.75" thickBot="1" x14ac:dyDescent="0.3">
      <c r="AK647" s="654" t="s">
        <v>573</v>
      </c>
      <c r="AL647" s="387">
        <f>AL645+AL646</f>
        <v>517675</v>
      </c>
      <c r="AM647" s="388">
        <f>AL647-AN647</f>
        <v>188435</v>
      </c>
      <c r="AN647" s="389">
        <f>AN645+AN646</f>
        <v>329240</v>
      </c>
      <c r="AO647" s="680">
        <f>AM647/AL647*100</f>
        <v>36.400251122808712</v>
      </c>
      <c r="AP647" s="681">
        <f>AN647/AL647*100</f>
        <v>63.599748877191288</v>
      </c>
      <c r="AQ647" s="387" t="e">
        <f>AQ645+AQ646</f>
        <v>#REF!</v>
      </c>
      <c r="AR647" s="388" t="e">
        <f>AR645+AR646</f>
        <v>#REF!</v>
      </c>
      <c r="AS647" s="389" t="e">
        <f>AS645+AS646</f>
        <v>#REF!</v>
      </c>
      <c r="AT647" s="680" t="e">
        <f>AR647/AQ647*100</f>
        <v>#REF!</v>
      </c>
      <c r="AU647" s="688" t="e">
        <f>AS647/AQ647*100</f>
        <v>#REF!</v>
      </c>
      <c r="AV647" s="387"/>
      <c r="AW647" s="388"/>
      <c r="AX647" s="389"/>
      <c r="AY647" s="680"/>
      <c r="AZ647" s="682"/>
      <c r="BA647" s="683"/>
      <c r="BB647" s="684"/>
      <c r="BC647" s="685"/>
      <c r="BD647" s="685"/>
      <c r="BE647" s="685"/>
      <c r="BF647" s="685"/>
      <c r="BG647" s="685"/>
      <c r="BH647" s="680"/>
      <c r="BI647" s="681"/>
      <c r="BJ647" s="106"/>
      <c r="BK647" s="152"/>
      <c r="BL647" s="152"/>
    </row>
    <row r="648" spans="37:95" x14ac:dyDescent="0.25">
      <c r="AR648" s="32"/>
    </row>
    <row r="649" spans="37:95" x14ac:dyDescent="0.25">
      <c r="AK649" s="689" t="s">
        <v>574</v>
      </c>
      <c r="AL649" s="690">
        <f>AL640+AL647</f>
        <v>1160339</v>
      </c>
      <c r="AM649" s="690">
        <f>AM640+AM647</f>
        <v>469600</v>
      </c>
      <c r="AN649" s="690">
        <f>AN640+AN647</f>
        <v>690739</v>
      </c>
      <c r="AO649" s="691">
        <f>AM649/AL649*100</f>
        <v>40.470931339892914</v>
      </c>
      <c r="AP649" s="691">
        <f>AN649/AL649*100</f>
        <v>59.529068660107086</v>
      </c>
      <c r="AQ649" s="692" t="e">
        <f>AQ640+AQ647</f>
        <v>#REF!</v>
      </c>
      <c r="AR649" s="692" t="e">
        <f>AR640+AR647</f>
        <v>#REF!</v>
      </c>
      <c r="AS649" s="692" t="e">
        <f>AS640+AS647</f>
        <v>#REF!</v>
      </c>
      <c r="AT649" s="693" t="e">
        <f>AR649/AQ649*100</f>
        <v>#REF!</v>
      </c>
      <c r="AU649" s="693" t="e">
        <f>AS649/AQ649*100</f>
        <v>#REF!</v>
      </c>
    </row>
    <row r="650" spans="37:95" x14ac:dyDescent="0.25">
      <c r="AP650" s="32"/>
      <c r="AR650" s="32"/>
    </row>
    <row r="651" spans="37:95" ht="15.75" thickBot="1" x14ac:dyDescent="0.3"/>
    <row r="652" spans="37:95" ht="15.75" thickBot="1" x14ac:dyDescent="0.3">
      <c r="AK652" s="1126" t="s">
        <v>575</v>
      </c>
      <c r="AL652" s="1129" t="s">
        <v>576</v>
      </c>
      <c r="AM652" s="1129"/>
      <c r="AN652" s="1129"/>
      <c r="AO652" s="1129"/>
      <c r="AP652" s="1129"/>
      <c r="AQ652" s="1129" t="s">
        <v>577</v>
      </c>
      <c r="AR652" s="1129"/>
      <c r="AS652" s="1129"/>
      <c r="AT652" s="1129"/>
      <c r="AU652" s="1130"/>
      <c r="AV652" s="1130" t="s">
        <v>578</v>
      </c>
      <c r="AW652" s="1131"/>
      <c r="AX652" s="1131"/>
      <c r="AY652" s="1131"/>
      <c r="AZ652" s="1132"/>
      <c r="BA652" s="1130" t="s">
        <v>579</v>
      </c>
      <c r="BB652" s="1131"/>
      <c r="BC652" s="1131"/>
      <c r="BD652" s="1131"/>
      <c r="BE652" s="1131"/>
      <c r="BF652" s="1131"/>
      <c r="BG652" s="1131"/>
      <c r="BH652" s="1131"/>
      <c r="BI652" s="1132"/>
      <c r="BJ652" s="100"/>
      <c r="BK652" s="100"/>
      <c r="BL652" s="100"/>
      <c r="BY652" s="1130" t="s">
        <v>578</v>
      </c>
      <c r="BZ652" s="1131"/>
      <c r="CA652" s="1131"/>
      <c r="CB652" s="1131"/>
      <c r="CC652" s="1131"/>
      <c r="CD652" s="1131"/>
      <c r="CE652" s="1131"/>
      <c r="CF652" s="1131"/>
      <c r="CG652" s="1131"/>
      <c r="CH652" s="1131"/>
      <c r="CI652" s="1131"/>
      <c r="CJ652" s="1131"/>
      <c r="CK652" s="1132"/>
      <c r="CL652" s="694"/>
      <c r="CM652" s="1130" t="s">
        <v>579</v>
      </c>
      <c r="CN652" s="1131"/>
      <c r="CO652" s="1131"/>
      <c r="CP652" s="1131"/>
      <c r="CQ652" s="1132"/>
    </row>
    <row r="653" spans="37:95" ht="30.75" customHeight="1" thickBot="1" x14ac:dyDescent="0.3">
      <c r="AK653" s="1127"/>
      <c r="AL653" s="1133" t="s">
        <v>560</v>
      </c>
      <c r="AM653" s="1133"/>
      <c r="AN653" s="1133"/>
      <c r="AO653" s="1116" t="s">
        <v>561</v>
      </c>
      <c r="AP653" s="1116"/>
      <c r="AQ653" s="1133" t="s">
        <v>560</v>
      </c>
      <c r="AR653" s="1133"/>
      <c r="AS653" s="1133"/>
      <c r="AT653" s="1116" t="s">
        <v>561</v>
      </c>
      <c r="AU653" s="1120"/>
      <c r="AV653" s="1117" t="s">
        <v>560</v>
      </c>
      <c r="AW653" s="1118"/>
      <c r="AX653" s="1119"/>
      <c r="AY653" s="1120" t="s">
        <v>561</v>
      </c>
      <c r="AZ653" s="1121"/>
      <c r="BA653" s="1117" t="s">
        <v>560</v>
      </c>
      <c r="BB653" s="1118"/>
      <c r="BC653" s="1119"/>
      <c r="BD653" s="671"/>
      <c r="BE653" s="671"/>
      <c r="BF653" s="671"/>
      <c r="BG653" s="671"/>
      <c r="BH653" s="1120" t="s">
        <v>561</v>
      </c>
      <c r="BI653" s="1121"/>
      <c r="BJ653" s="100"/>
      <c r="BK653" s="686"/>
      <c r="BL653" s="686"/>
      <c r="BY653" s="1117" t="s">
        <v>560</v>
      </c>
      <c r="BZ653" s="1118"/>
      <c r="CA653" s="1118"/>
      <c r="CB653" s="1118"/>
      <c r="CC653" s="1118"/>
      <c r="CD653" s="1118"/>
      <c r="CE653" s="1118"/>
      <c r="CF653" s="1118"/>
      <c r="CG653" s="1119"/>
      <c r="CH653" s="1120" t="s">
        <v>561</v>
      </c>
      <c r="CI653" s="1137"/>
      <c r="CJ653" s="1137"/>
      <c r="CK653" s="1121"/>
      <c r="CL653" s="695"/>
      <c r="CM653" s="1117" t="s">
        <v>560</v>
      </c>
      <c r="CN653" s="1118"/>
      <c r="CO653" s="1119"/>
      <c r="CP653" s="1120" t="s">
        <v>561</v>
      </c>
      <c r="CQ653" s="1121"/>
    </row>
    <row r="654" spans="37:95" ht="60.75" thickBot="1" x14ac:dyDescent="0.3">
      <c r="AK654" s="1128"/>
      <c r="AL654" s="672" t="s">
        <v>562</v>
      </c>
      <c r="AM654" s="672" t="s">
        <v>563</v>
      </c>
      <c r="AN654" s="672" t="s">
        <v>564</v>
      </c>
      <c r="AO654" s="672" t="s">
        <v>565</v>
      </c>
      <c r="AP654" s="672" t="s">
        <v>566</v>
      </c>
      <c r="AQ654" s="672" t="s">
        <v>562</v>
      </c>
      <c r="AR654" s="673" t="s">
        <v>563</v>
      </c>
      <c r="AS654" s="672" t="s">
        <v>564</v>
      </c>
      <c r="AT654" s="672" t="s">
        <v>567</v>
      </c>
      <c r="AU654" s="687" t="s">
        <v>566</v>
      </c>
      <c r="AV654" s="672" t="s">
        <v>562</v>
      </c>
      <c r="AW654" s="672" t="s">
        <v>563</v>
      </c>
      <c r="AX654" s="672" t="s">
        <v>564</v>
      </c>
      <c r="AY654" s="672" t="s">
        <v>565</v>
      </c>
      <c r="AZ654" s="672" t="s">
        <v>566</v>
      </c>
      <c r="BA654" s="672" t="s">
        <v>562</v>
      </c>
      <c r="BB654" s="672" t="s">
        <v>563</v>
      </c>
      <c r="BC654" s="672" t="s">
        <v>564</v>
      </c>
      <c r="BD654" s="672"/>
      <c r="BE654" s="672"/>
      <c r="BF654" s="672"/>
      <c r="BG654" s="672"/>
      <c r="BH654" s="672" t="s">
        <v>567</v>
      </c>
      <c r="BI654" s="672" t="s">
        <v>566</v>
      </c>
      <c r="BJ654" s="674"/>
      <c r="BK654" s="674"/>
      <c r="BL654" s="674"/>
      <c r="BY654" s="672" t="s">
        <v>562</v>
      </c>
      <c r="BZ654" s="672"/>
      <c r="CA654" s="672"/>
      <c r="CB654" s="672"/>
      <c r="CC654" s="672"/>
      <c r="CD654" s="672"/>
      <c r="CE654" s="672"/>
      <c r="CF654" s="672" t="s">
        <v>563</v>
      </c>
      <c r="CG654" s="672" t="s">
        <v>564</v>
      </c>
      <c r="CH654" s="672" t="s">
        <v>565</v>
      </c>
      <c r="CI654" s="672"/>
      <c r="CJ654" s="672"/>
      <c r="CK654" s="672" t="s">
        <v>566</v>
      </c>
      <c r="CL654" s="672"/>
      <c r="CM654" s="672" t="s">
        <v>562</v>
      </c>
      <c r="CN654" s="672" t="s">
        <v>563</v>
      </c>
      <c r="CO654" s="672" t="s">
        <v>564</v>
      </c>
      <c r="CP654" s="672" t="s">
        <v>567</v>
      </c>
      <c r="CQ654" s="672" t="s">
        <v>566</v>
      </c>
    </row>
    <row r="655" spans="37:95" ht="15.75" thickBot="1" x14ac:dyDescent="0.3">
      <c r="AK655" s="675" t="s">
        <v>568</v>
      </c>
      <c r="AL655" s="676">
        <v>296198</v>
      </c>
      <c r="AM655" s="677">
        <f>AL655-AN655</f>
        <v>223352</v>
      </c>
      <c r="AN655" s="678">
        <v>72846</v>
      </c>
      <c r="AO655" s="245">
        <f>AM655/AL655*100</f>
        <v>75.406316045348049</v>
      </c>
      <c r="AP655" s="221">
        <f>AN655/AL655*100</f>
        <v>24.593683954651958</v>
      </c>
      <c r="AQ655" s="676">
        <v>306407.48</v>
      </c>
      <c r="AR655" s="677">
        <f>AQ655-AS655</f>
        <v>228557.27999999997</v>
      </c>
      <c r="AS655" s="678">
        <v>77850.2</v>
      </c>
      <c r="AT655" s="245">
        <f>AR655/AQ655*100</f>
        <v>74.592591538561649</v>
      </c>
      <c r="AU655" s="288">
        <f>AS655/AQ655*100</f>
        <v>25.407408461438347</v>
      </c>
      <c r="AV655" s="676">
        <v>312436.21000000002</v>
      </c>
      <c r="AW655" s="677">
        <v>228274.57</v>
      </c>
      <c r="AX655" s="264">
        <v>84161.64</v>
      </c>
      <c r="AY655" s="287">
        <f>AW655/AV655*100</f>
        <v>73.062776558453322</v>
      </c>
      <c r="AZ655" s="492">
        <f>AX655/AV655*100</f>
        <v>26.937223441546678</v>
      </c>
      <c r="BA655" s="676">
        <v>309406.14</v>
      </c>
      <c r="BB655" s="677">
        <f>BA655-BC655</f>
        <v>223672.44</v>
      </c>
      <c r="BC655" s="678">
        <v>85733.7</v>
      </c>
      <c r="BD655" s="696"/>
      <c r="BE655" s="696"/>
      <c r="BF655" s="696"/>
      <c r="BG655" s="696"/>
      <c r="BH655" s="245">
        <f>BB655/BA655*100</f>
        <v>72.290886017969783</v>
      </c>
      <c r="BI655" s="221">
        <f>BC655/BA655*100</f>
        <v>27.709113982030221</v>
      </c>
      <c r="BJ655" s="1"/>
      <c r="BK655" s="32"/>
      <c r="BL655" s="32"/>
      <c r="BN655">
        <f>BJ657/AX657*100-100</f>
        <v>-100</v>
      </c>
      <c r="BY655" s="676">
        <v>312436.21000000002</v>
      </c>
      <c r="BZ655" s="697"/>
      <c r="CA655" s="697"/>
      <c r="CB655" s="697"/>
      <c r="CC655" s="697"/>
      <c r="CD655" s="697"/>
      <c r="CE655" s="697"/>
      <c r="CF655" s="677">
        <f>BY655-CG655</f>
        <v>228274.57</v>
      </c>
      <c r="CG655" s="678">
        <v>84161.64</v>
      </c>
      <c r="CH655" s="245">
        <f>CF655/BY655*100</f>
        <v>73.062776558453322</v>
      </c>
      <c r="CI655" s="549"/>
      <c r="CJ655" s="549"/>
      <c r="CK655" s="221">
        <f>CG655/BY655*100</f>
        <v>26.937223441546678</v>
      </c>
      <c r="CL655" s="549"/>
      <c r="CM655" s="676">
        <v>309406.14</v>
      </c>
      <c r="CN655" s="677">
        <f>CM655-CO655</f>
        <v>223672.44</v>
      </c>
      <c r="CO655" s="678">
        <v>85733.7</v>
      </c>
      <c r="CP655" s="245">
        <f>CN655/CM655*100</f>
        <v>72.290886017969783</v>
      </c>
      <c r="CQ655" s="221">
        <f>CO655/CM655*100</f>
        <v>27.709113982030221</v>
      </c>
    </row>
    <row r="656" spans="37:95" ht="15.75" thickBot="1" x14ac:dyDescent="0.3">
      <c r="AK656" s="675" t="s">
        <v>569</v>
      </c>
      <c r="AL656" s="4">
        <v>284170</v>
      </c>
      <c r="AM656" s="5">
        <f>AL656-AN656</f>
        <v>132475</v>
      </c>
      <c r="AN656" s="28">
        <v>151695</v>
      </c>
      <c r="AO656" s="248">
        <f>AM656/AL656*100</f>
        <v>46.61822148713798</v>
      </c>
      <c r="AP656" s="414">
        <f>AN656/AL656*100</f>
        <v>53.38177851286202</v>
      </c>
      <c r="AQ656" s="4">
        <v>295527.97700000001</v>
      </c>
      <c r="AR656" s="5">
        <f>AQ656-AS656</f>
        <v>133573.03900000002</v>
      </c>
      <c r="AS656" s="28">
        <v>161954.93799999999</v>
      </c>
      <c r="AT656" s="248">
        <f>AR656/AQ656*100</f>
        <v>45.198102851697193</v>
      </c>
      <c r="AU656" s="478">
        <f>AS656/AQ656*100</f>
        <v>54.801897148302814</v>
      </c>
      <c r="AV656" s="4">
        <v>312890.69</v>
      </c>
      <c r="AW656" s="5">
        <v>132283.4</v>
      </c>
      <c r="AX656" s="348">
        <v>180607.29</v>
      </c>
      <c r="AY656" s="477">
        <f>AW656/AV656*100</f>
        <v>42.27783191631557</v>
      </c>
      <c r="AZ656" s="679">
        <f>AX656/AV656*100</f>
        <v>57.72216808368443</v>
      </c>
      <c r="BA656" s="4">
        <v>313564.69</v>
      </c>
      <c r="BB656" s="5">
        <f>BA656-BC656</f>
        <v>119549.66</v>
      </c>
      <c r="BC656" s="28">
        <v>194015.03</v>
      </c>
      <c r="BD656" s="586"/>
      <c r="BE656" s="586"/>
      <c r="BF656" s="586"/>
      <c r="BG656" s="586"/>
      <c r="BH656" s="248">
        <f>BB656/BA656*100</f>
        <v>38.125995627887818</v>
      </c>
      <c r="BI656" s="414">
        <f>BC656/BA656*100</f>
        <v>61.874004372112182</v>
      </c>
      <c r="BJ656" s="1"/>
      <c r="BK656" s="32"/>
      <c r="BL656" s="32"/>
      <c r="BY656" s="4">
        <v>312890.69</v>
      </c>
      <c r="BZ656" s="585"/>
      <c r="CA656" s="585"/>
      <c r="CB656" s="585"/>
      <c r="CC656" s="585"/>
      <c r="CD656" s="585"/>
      <c r="CE656" s="585"/>
      <c r="CF656" s="5">
        <f>BY656-CG656</f>
        <v>132283.4</v>
      </c>
      <c r="CG656" s="28">
        <v>180607.29</v>
      </c>
      <c r="CH656" s="248">
        <f>CF656/BY656*100</f>
        <v>42.27783191631557</v>
      </c>
      <c r="CI656" s="450"/>
      <c r="CJ656" s="450"/>
      <c r="CK656" s="414">
        <f>CG656/BY656*100</f>
        <v>57.72216808368443</v>
      </c>
      <c r="CL656" s="450"/>
      <c r="CM656" s="4">
        <v>313564.69</v>
      </c>
      <c r="CN656" s="5">
        <f>CM656-CO656</f>
        <v>119549.66</v>
      </c>
      <c r="CO656" s="28">
        <v>194015.03</v>
      </c>
      <c r="CP656" s="248">
        <f>CN656/CM656*100</f>
        <v>38.125995627887818</v>
      </c>
      <c r="CQ656" s="414">
        <f>CO656/CM656*100</f>
        <v>61.874004372112182</v>
      </c>
    </row>
    <row r="657" spans="37:95" ht="15.75" thickBot="1" x14ac:dyDescent="0.3">
      <c r="AK657" s="654" t="s">
        <v>570</v>
      </c>
      <c r="AL657" s="387">
        <f>AL655+AL656</f>
        <v>580368</v>
      </c>
      <c r="AM657" s="388">
        <f>AL657-AN657</f>
        <v>355827</v>
      </c>
      <c r="AN657" s="389">
        <f>AN655+AN656</f>
        <v>224541</v>
      </c>
      <c r="AO657" s="680">
        <f>AM657/AL657*100</f>
        <v>61.310582251261266</v>
      </c>
      <c r="AP657" s="681">
        <f>AN657/AL657*100</f>
        <v>38.689417748738734</v>
      </c>
      <c r="AQ657" s="387">
        <f>AQ655+AQ656</f>
        <v>601935.45699999994</v>
      </c>
      <c r="AR657" s="388">
        <f>AQ657-AS657</f>
        <v>362130.31899999996</v>
      </c>
      <c r="AS657" s="389">
        <f>AS655+AS656</f>
        <v>239805.13799999998</v>
      </c>
      <c r="AT657" s="680">
        <f>AR657/AQ657*100</f>
        <v>60.160988157240261</v>
      </c>
      <c r="AU657" s="688">
        <f>AS657/AQ657*100</f>
        <v>39.839011842759746</v>
      </c>
      <c r="AV657" s="387">
        <f>AV655+AV656</f>
        <v>625326.9</v>
      </c>
      <c r="AW657" s="388">
        <f>AW655+AW656</f>
        <v>360557.97</v>
      </c>
      <c r="AX657" s="611">
        <f>AX655+AX656</f>
        <v>264768.93</v>
      </c>
      <c r="AY657" s="698">
        <f>AW657/AV657*100</f>
        <v>57.659117175352591</v>
      </c>
      <c r="AZ657" s="682">
        <f>AX657/AV657*100</f>
        <v>42.340882824647395</v>
      </c>
      <c r="BA657" s="699">
        <f>BA655+BA656</f>
        <v>622970.83000000007</v>
      </c>
      <c r="BB657" s="699">
        <f>BB655+BB656</f>
        <v>343222.1</v>
      </c>
      <c r="BC657" s="699">
        <f>BC655+BC656</f>
        <v>279748.73</v>
      </c>
      <c r="BD657" s="699"/>
      <c r="BE657" s="699"/>
      <c r="BF657" s="699"/>
      <c r="BG657" s="699"/>
      <c r="BH657" s="680">
        <f>BB657/BA657*100</f>
        <v>55.094409476604213</v>
      </c>
      <c r="BI657" s="681">
        <f>BC657/BA657*100</f>
        <v>44.905590523395766</v>
      </c>
      <c r="BJ657" s="106"/>
      <c r="BK657" s="152"/>
      <c r="BL657" s="152"/>
      <c r="BY657" s="387">
        <f>BY655+BY656</f>
        <v>625326.9</v>
      </c>
      <c r="BZ657" s="700"/>
      <c r="CA657" s="700"/>
      <c r="CB657" s="700"/>
      <c r="CC657" s="700"/>
      <c r="CD657" s="700"/>
      <c r="CE657" s="700"/>
      <c r="CF657" s="388">
        <f>BY657-CG657</f>
        <v>360557.97000000003</v>
      </c>
      <c r="CG657" s="389">
        <f>CG655+CG656</f>
        <v>264768.93</v>
      </c>
      <c r="CH657" s="680">
        <f>CF657/BY657*100</f>
        <v>57.659117175352605</v>
      </c>
      <c r="CI657" s="685"/>
      <c r="CJ657" s="685"/>
      <c r="CK657" s="681">
        <f>CG657/BY657*100</f>
        <v>42.340882824647395</v>
      </c>
      <c r="CL657" s="685"/>
      <c r="CM657" s="387">
        <f>CM655+CM656</f>
        <v>622970.83000000007</v>
      </c>
      <c r="CN657" s="388">
        <f>CM657-CO657</f>
        <v>343222.10000000009</v>
      </c>
      <c r="CO657" s="389">
        <f>CO655+CO656</f>
        <v>279748.73</v>
      </c>
      <c r="CP657" s="680">
        <f>CN657/CM657*100</f>
        <v>55.094409476604234</v>
      </c>
      <c r="CQ657" s="681">
        <f>CO657/CM657*100</f>
        <v>44.905590523395766</v>
      </c>
    </row>
    <row r="658" spans="37:95" ht="15.75" thickBot="1" x14ac:dyDescent="0.3">
      <c r="AP658" s="32"/>
      <c r="AT658" s="32"/>
      <c r="AY658" s="32"/>
      <c r="AZ658" s="32"/>
      <c r="BA658" s="32"/>
      <c r="BK658" s="32"/>
    </row>
    <row r="659" spans="37:95" ht="15.75" thickBot="1" x14ac:dyDescent="0.3">
      <c r="AK659" s="1134" t="s">
        <v>580</v>
      </c>
      <c r="AL659" s="1129" t="s">
        <v>576</v>
      </c>
      <c r="AM659" s="1129"/>
      <c r="AN659" s="1129"/>
      <c r="AO659" s="1129"/>
      <c r="AP659" s="1129"/>
      <c r="AQ659" s="1129" t="s">
        <v>577</v>
      </c>
      <c r="AR659" s="1129"/>
      <c r="AS659" s="1129"/>
      <c r="AT659" s="1129"/>
      <c r="AU659" s="1129"/>
      <c r="AV659" s="1130" t="s">
        <v>578</v>
      </c>
      <c r="AW659" s="1131"/>
      <c r="AX659" s="1131"/>
      <c r="AY659" s="1131"/>
      <c r="AZ659" s="1131"/>
      <c r="BA659" s="1131"/>
      <c r="BB659" s="1132"/>
      <c r="BC659" s="694"/>
      <c r="BD659" s="694"/>
      <c r="BE659" s="694"/>
      <c r="BF659" s="694"/>
      <c r="BG659" s="694"/>
      <c r="BH659" s="1130" t="s">
        <v>579</v>
      </c>
      <c r="BI659" s="1131"/>
      <c r="BJ659" s="1131"/>
      <c r="BK659" s="1131"/>
      <c r="BL659" s="1132"/>
    </row>
    <row r="660" spans="37:95" ht="30.75" customHeight="1" thickBot="1" x14ac:dyDescent="0.3">
      <c r="AK660" s="1135"/>
      <c r="AL660" s="1133" t="s">
        <v>560</v>
      </c>
      <c r="AM660" s="1133"/>
      <c r="AN660" s="1133"/>
      <c r="AO660" s="1116" t="s">
        <v>561</v>
      </c>
      <c r="AP660" s="1116"/>
      <c r="AQ660" s="1133" t="s">
        <v>560</v>
      </c>
      <c r="AR660" s="1133"/>
      <c r="AS660" s="1133"/>
      <c r="AT660" s="1116" t="s">
        <v>561</v>
      </c>
      <c r="AU660" s="1116"/>
      <c r="AV660" s="1117" t="s">
        <v>560</v>
      </c>
      <c r="AW660" s="1118"/>
      <c r="AX660" s="1119"/>
      <c r="AY660" s="1120" t="s">
        <v>561</v>
      </c>
      <c r="AZ660" s="1137"/>
      <c r="BA660" s="1137"/>
      <c r="BB660" s="1121"/>
      <c r="BC660" s="695"/>
      <c r="BD660" s="695"/>
      <c r="BE660" s="695"/>
      <c r="BF660" s="695"/>
      <c r="BG660" s="695"/>
      <c r="BH660" s="1117" t="s">
        <v>560</v>
      </c>
      <c r="BI660" s="1118"/>
      <c r="BJ660" s="1119"/>
      <c r="BK660" s="1120" t="s">
        <v>561</v>
      </c>
      <c r="BL660" s="1121"/>
    </row>
    <row r="661" spans="37:95" ht="30.75" thickBot="1" x14ac:dyDescent="0.3">
      <c r="AK661" s="1136"/>
      <c r="AL661" s="672" t="s">
        <v>562</v>
      </c>
      <c r="AM661" s="672" t="s">
        <v>563</v>
      </c>
      <c r="AN661" s="672" t="s">
        <v>564</v>
      </c>
      <c r="AO661" s="672" t="s">
        <v>565</v>
      </c>
      <c r="AP661" s="672" t="s">
        <v>566</v>
      </c>
      <c r="AQ661" s="672" t="s">
        <v>562</v>
      </c>
      <c r="AR661" s="672" t="s">
        <v>563</v>
      </c>
      <c r="AS661" s="672" t="s">
        <v>564</v>
      </c>
      <c r="AT661" s="672" t="s">
        <v>567</v>
      </c>
      <c r="AU661" s="672" t="s">
        <v>566</v>
      </c>
      <c r="AV661" s="672" t="s">
        <v>562</v>
      </c>
      <c r="AW661" s="672" t="s">
        <v>563</v>
      </c>
      <c r="AX661" s="672" t="s">
        <v>564</v>
      </c>
      <c r="AY661" s="672" t="s">
        <v>565</v>
      </c>
      <c r="AZ661" s="672"/>
      <c r="BA661" s="672"/>
      <c r="BB661" s="672" t="s">
        <v>566</v>
      </c>
      <c r="BC661" s="672"/>
      <c r="BD661" s="672"/>
      <c r="BE661" s="672"/>
      <c r="BF661" s="672"/>
      <c r="BG661" s="672"/>
      <c r="BH661" s="672" t="s">
        <v>562</v>
      </c>
      <c r="BI661" s="672" t="s">
        <v>563</v>
      </c>
      <c r="BJ661" s="672" t="s">
        <v>564</v>
      </c>
      <c r="BK661" s="672" t="s">
        <v>567</v>
      </c>
      <c r="BL661" s="672" t="s">
        <v>566</v>
      </c>
    </row>
    <row r="662" spans="37:95" ht="15.75" thickBot="1" x14ac:dyDescent="0.3">
      <c r="AK662" s="675" t="s">
        <v>568</v>
      </c>
      <c r="AL662" s="676">
        <v>8278</v>
      </c>
      <c r="AM662" s="677">
        <f>AL662-AN662</f>
        <v>6409</v>
      </c>
      <c r="AN662" s="678">
        <v>1869</v>
      </c>
      <c r="AO662" s="245">
        <f>AM662/AL662*100</f>
        <v>77.422082628654266</v>
      </c>
      <c r="AP662" s="221">
        <f>AN662/AL662*100</f>
        <v>22.577917371345734</v>
      </c>
      <c r="AQ662" s="676">
        <v>3788</v>
      </c>
      <c r="AR662" s="677">
        <f>AQ662-AS662</f>
        <v>2189</v>
      </c>
      <c r="AS662" s="678">
        <v>1599</v>
      </c>
      <c r="AT662" s="245">
        <f>AR662/AQ662*100</f>
        <v>57.787750791974659</v>
      </c>
      <c r="AU662" s="221">
        <f>AS662/AQ662*100</f>
        <v>42.212249208025341</v>
      </c>
      <c r="AV662" s="676">
        <v>3823</v>
      </c>
      <c r="AW662" s="677">
        <f>AV662-AX662</f>
        <v>2044</v>
      </c>
      <c r="AX662" s="678">
        <v>1779</v>
      </c>
      <c r="AY662" s="245">
        <f>AW662/AV662*100</f>
        <v>53.465864504315988</v>
      </c>
      <c r="AZ662" s="549"/>
      <c r="BA662" s="549"/>
      <c r="BB662" s="221">
        <f>AX662/AV662*100</f>
        <v>46.534135495684019</v>
      </c>
      <c r="BC662" s="549"/>
      <c r="BD662" s="549"/>
      <c r="BE662" s="549"/>
      <c r="BF662" s="549"/>
      <c r="BG662" s="549"/>
      <c r="BH662" s="676">
        <v>7428.62</v>
      </c>
      <c r="BI662" s="677">
        <f>BH662-BJ662</f>
        <v>5418.62</v>
      </c>
      <c r="BJ662" s="678">
        <v>2010</v>
      </c>
      <c r="BK662" s="245">
        <f>BI662/BH662*100</f>
        <v>72.942484606831414</v>
      </c>
      <c r="BL662" s="221">
        <f>BJ662/BH662*100</f>
        <v>27.057515393168586</v>
      </c>
    </row>
    <row r="663" spans="37:95" ht="15.75" thickBot="1" x14ac:dyDescent="0.3">
      <c r="AK663" s="675" t="s">
        <v>572</v>
      </c>
      <c r="AL663" s="4">
        <v>442113.53</v>
      </c>
      <c r="AM663" s="5">
        <f>AL663-AN663</f>
        <v>209397.53000000003</v>
      </c>
      <c r="AN663" s="28">
        <v>232716</v>
      </c>
      <c r="AO663" s="248">
        <f>AM663/AL663*100</f>
        <v>47.362841395059775</v>
      </c>
      <c r="AP663" s="414">
        <f>AN663/AL663*100</f>
        <v>52.637158604940225</v>
      </c>
      <c r="AQ663" s="4">
        <v>458303</v>
      </c>
      <c r="AR663" s="5">
        <f>AQ663-AS663</f>
        <v>205976.443</v>
      </c>
      <c r="AS663" s="28">
        <v>252326.557</v>
      </c>
      <c r="AT663" s="248">
        <f>AR663/AQ663*100</f>
        <v>44.94328926496226</v>
      </c>
      <c r="AU663" s="414">
        <f>AS663/AQ663*100</f>
        <v>55.05671073503774</v>
      </c>
      <c r="AV663" s="4">
        <v>489432</v>
      </c>
      <c r="AW663" s="5">
        <f>AV663-AX663</f>
        <v>202294.81</v>
      </c>
      <c r="AX663" s="28">
        <v>287137.19</v>
      </c>
      <c r="AY663" s="248">
        <f>AW663/AV663*100</f>
        <v>41.33256713905098</v>
      </c>
      <c r="AZ663" s="450"/>
      <c r="BA663" s="450"/>
      <c r="BB663" s="414">
        <f>AX663/AV663*100</f>
        <v>58.66743286094902</v>
      </c>
      <c r="BC663" s="450"/>
      <c r="BD663" s="450"/>
      <c r="BE663" s="450"/>
      <c r="BF663" s="450"/>
      <c r="BG663" s="450"/>
      <c r="BH663" s="4">
        <v>494550.02</v>
      </c>
      <c r="BI663" s="5">
        <f>BH663-BJ663</f>
        <v>193905.83000000002</v>
      </c>
      <c r="BJ663" s="28">
        <v>300644.19</v>
      </c>
      <c r="BK663" s="248">
        <f>BI663/BH663*100</f>
        <v>39.208537490302803</v>
      </c>
      <c r="BL663" s="414">
        <f>BJ663/BH663*100</f>
        <v>60.791462509697205</v>
      </c>
    </row>
    <row r="664" spans="37:95" ht="15.75" thickBot="1" x14ac:dyDescent="0.3">
      <c r="AK664" s="654" t="s">
        <v>573</v>
      </c>
      <c r="AL664" s="387">
        <f>AL662+AL663</f>
        <v>450391.53</v>
      </c>
      <c r="AM664" s="388">
        <f>AL664-AN664</f>
        <v>215806.53000000003</v>
      </c>
      <c r="AN664" s="389">
        <f>AN662+AN663</f>
        <v>234585</v>
      </c>
      <c r="AO664" s="680">
        <f>AM664/AL664*100</f>
        <v>47.915317146394834</v>
      </c>
      <c r="AP664" s="681">
        <f>AN664/AL664*100</f>
        <v>52.084682853605166</v>
      </c>
      <c r="AQ664" s="387">
        <v>462091</v>
      </c>
      <c r="AR664" s="388">
        <f>AQ664-AS664</f>
        <v>208165.443</v>
      </c>
      <c r="AS664" s="389">
        <f>AS662+AS663</f>
        <v>253925.557</v>
      </c>
      <c r="AT664" s="680">
        <f>AR664/AQ664*100</f>
        <v>45.048581989261855</v>
      </c>
      <c r="AU664" s="681">
        <f>AS664/AQ664*100</f>
        <v>54.951418010738138</v>
      </c>
      <c r="AV664" s="387">
        <v>493255</v>
      </c>
      <c r="AW664" s="388">
        <f>AV664-AX664</f>
        <v>204338.81</v>
      </c>
      <c r="AX664" s="389">
        <f>AX662+AX663</f>
        <v>288916.19</v>
      </c>
      <c r="AY664" s="680">
        <f>AW664/AV664*100</f>
        <v>41.426606927451317</v>
      </c>
      <c r="AZ664" s="685"/>
      <c r="BA664" s="685"/>
      <c r="BB664" s="681">
        <f>AX664/AV664*100</f>
        <v>58.573393072548683</v>
      </c>
      <c r="BC664" s="685"/>
      <c r="BD664" s="685"/>
      <c r="BE664" s="685"/>
      <c r="BF664" s="685"/>
      <c r="BG664" s="685"/>
      <c r="BH664" s="387">
        <v>501978.64</v>
      </c>
      <c r="BI664" s="388">
        <f>BH664-BJ664</f>
        <v>199324.45</v>
      </c>
      <c r="BJ664" s="389">
        <f>BJ662+BJ663</f>
        <v>302654.19</v>
      </c>
      <c r="BK664" s="680">
        <f>BI664/BH664*100</f>
        <v>39.707755294129647</v>
      </c>
      <c r="BL664" s="681">
        <f>BJ664/BH664*100</f>
        <v>60.29224470587036</v>
      </c>
    </row>
    <row r="665" spans="37:95" x14ac:dyDescent="0.25">
      <c r="AP665" s="32"/>
      <c r="AU665" s="32"/>
      <c r="AV665" s="1">
        <f>AV657+AV664</f>
        <v>1118581.8999999999</v>
      </c>
      <c r="AX665" s="1">
        <f>AX657+AX664</f>
        <v>553685.12</v>
      </c>
      <c r="BB665" s="32">
        <f>AX665/AV665*100</f>
        <v>49.49884492141345</v>
      </c>
      <c r="BC665" s="32"/>
      <c r="BD665" s="32"/>
      <c r="BE665" s="32"/>
      <c r="BF665" s="32"/>
      <c r="BG665" s="32"/>
      <c r="BH665" s="1">
        <f>BH657+BH664</f>
        <v>502033.73440947663</v>
      </c>
      <c r="BI665" s="1">
        <f>BI664+BI657</f>
        <v>199369.3555905234</v>
      </c>
      <c r="BJ665" s="1">
        <f>BJ657+BJ664</f>
        <v>302654.19</v>
      </c>
      <c r="BM665">
        <f>BJ665/BH665*100</f>
        <v>60.285628087522994</v>
      </c>
    </row>
    <row r="666" spans="37:95" x14ac:dyDescent="0.25">
      <c r="AP666" s="32"/>
      <c r="AU666" s="32"/>
      <c r="BB666" s="32"/>
      <c r="BC666" s="32"/>
      <c r="BD666" s="32"/>
      <c r="BE666" s="32"/>
      <c r="BF666" s="32"/>
      <c r="BG666" s="32"/>
      <c r="BI666" s="27">
        <f>BI665/BH665*100</f>
        <v>39.712342403650233</v>
      </c>
      <c r="BJ666" s="27">
        <f>BJ665/BJ681*100-100</f>
        <v>-36.987587434840506</v>
      </c>
    </row>
    <row r="667" spans="37:95" ht="15.75" thickBot="1" x14ac:dyDescent="0.3">
      <c r="AP667" s="32"/>
      <c r="AU667" s="32"/>
      <c r="BB667" s="32"/>
      <c r="BC667" s="32"/>
      <c r="BD667" s="32"/>
      <c r="BE667" s="32"/>
      <c r="BF667" s="32"/>
      <c r="BG667" s="32"/>
    </row>
    <row r="668" spans="37:95" ht="15.75" thickBot="1" x14ac:dyDescent="0.3">
      <c r="AK668" s="1126" t="s">
        <v>581</v>
      </c>
      <c r="AL668" s="1129" t="s">
        <v>582</v>
      </c>
      <c r="AM668" s="1129"/>
      <c r="AN668" s="1129"/>
      <c r="AO668" s="1129"/>
      <c r="AP668" s="1129"/>
      <c r="AQ668" s="1129" t="s">
        <v>583</v>
      </c>
      <c r="AR668" s="1129"/>
      <c r="AS668" s="1129"/>
      <c r="AT668" s="1129"/>
      <c r="AU668" s="1129"/>
      <c r="AV668" s="1130" t="s">
        <v>584</v>
      </c>
      <c r="AW668" s="1131"/>
      <c r="AX668" s="1131"/>
      <c r="AY668" s="1131"/>
      <c r="AZ668" s="1131"/>
      <c r="BA668" s="1131"/>
      <c r="BB668" s="1132"/>
      <c r="BC668" s="694"/>
      <c r="BD668" s="694"/>
      <c r="BE668" s="694"/>
      <c r="BF668" s="694"/>
      <c r="BG668" s="694"/>
      <c r="BH668" s="1130" t="s">
        <v>585</v>
      </c>
      <c r="BI668" s="1131"/>
      <c r="BJ668" s="1131"/>
      <c r="BK668" s="1131"/>
      <c r="BL668" s="1132"/>
    </row>
    <row r="669" spans="37:95" ht="30.75" customHeight="1" thickBot="1" x14ac:dyDescent="0.3">
      <c r="AK669" s="1127"/>
      <c r="AL669" s="1133" t="s">
        <v>560</v>
      </c>
      <c r="AM669" s="1133"/>
      <c r="AN669" s="1133"/>
      <c r="AO669" s="1116" t="s">
        <v>561</v>
      </c>
      <c r="AP669" s="1116"/>
      <c r="AQ669" s="1133" t="s">
        <v>560</v>
      </c>
      <c r="AR669" s="1133"/>
      <c r="AS669" s="1133"/>
      <c r="AT669" s="1116" t="s">
        <v>561</v>
      </c>
      <c r="AU669" s="1116"/>
      <c r="AV669" s="1117" t="s">
        <v>560</v>
      </c>
      <c r="AW669" s="1118"/>
      <c r="AX669" s="1119"/>
      <c r="AY669" s="1120" t="s">
        <v>561</v>
      </c>
      <c r="AZ669" s="1137"/>
      <c r="BA669" s="1137"/>
      <c r="BB669" s="1121"/>
      <c r="BC669" s="695"/>
      <c r="BD669" s="695"/>
      <c r="BE669" s="695"/>
      <c r="BF669" s="695"/>
      <c r="BG669" s="695"/>
      <c r="BH669" s="1117" t="s">
        <v>560</v>
      </c>
      <c r="BI669" s="1118"/>
      <c r="BJ669" s="1119"/>
      <c r="BK669" s="1120" t="s">
        <v>561</v>
      </c>
      <c r="BL669" s="1121"/>
    </row>
    <row r="670" spans="37:95" ht="30.75" thickBot="1" x14ac:dyDescent="0.3">
      <c r="AK670" s="1128"/>
      <c r="AL670" s="672" t="s">
        <v>562</v>
      </c>
      <c r="AM670" s="672" t="s">
        <v>563</v>
      </c>
      <c r="AN670" s="672" t="s">
        <v>564</v>
      </c>
      <c r="AO670" s="672" t="s">
        <v>565</v>
      </c>
      <c r="AP670" s="672" t="s">
        <v>566</v>
      </c>
      <c r="AQ670" s="672" t="s">
        <v>562</v>
      </c>
      <c r="AR670" s="672" t="s">
        <v>563</v>
      </c>
      <c r="AS670" s="672" t="s">
        <v>564</v>
      </c>
      <c r="AT670" s="672" t="s">
        <v>567</v>
      </c>
      <c r="AU670" s="672" t="s">
        <v>566</v>
      </c>
      <c r="AV670" s="672" t="s">
        <v>562</v>
      </c>
      <c r="AW670" s="672" t="s">
        <v>563</v>
      </c>
      <c r="AX670" s="672" t="s">
        <v>564</v>
      </c>
      <c r="AY670" s="672" t="s">
        <v>567</v>
      </c>
      <c r="AZ670" s="672"/>
      <c r="BA670" s="672"/>
      <c r="BB670" s="672" t="s">
        <v>566</v>
      </c>
      <c r="BC670" s="672"/>
      <c r="BD670" s="672"/>
      <c r="BE670" s="672"/>
      <c r="BF670" s="672"/>
      <c r="BG670" s="672"/>
      <c r="BH670" s="672" t="s">
        <v>562</v>
      </c>
      <c r="BI670" s="672" t="s">
        <v>563</v>
      </c>
      <c r="BJ670" s="672" t="s">
        <v>564</v>
      </c>
      <c r="BK670" s="672" t="s">
        <v>567</v>
      </c>
      <c r="BL670" s="672" t="s">
        <v>566</v>
      </c>
    </row>
    <row r="671" spans="37:95" ht="15.75" thickBot="1" x14ac:dyDescent="0.3">
      <c r="AK671" s="675" t="s">
        <v>568</v>
      </c>
      <c r="AL671" s="701"/>
      <c r="AM671" s="702"/>
      <c r="AN671" s="702"/>
      <c r="AO671" s="702"/>
      <c r="AP671" s="703"/>
      <c r="AQ671" s="701"/>
      <c r="AR671" s="702"/>
      <c r="AS671" s="702"/>
      <c r="AT671" s="702"/>
      <c r="AU671" s="703"/>
      <c r="AV671" s="4">
        <v>329297.46035826002</v>
      </c>
      <c r="AW671" s="4">
        <f>AV671-AX671</f>
        <v>239349.56035826003</v>
      </c>
      <c r="AX671" s="4">
        <v>89947.9</v>
      </c>
      <c r="AY671" s="220">
        <f>AW671/AV671*100</f>
        <v>72.684909290785015</v>
      </c>
      <c r="AZ671" s="288"/>
      <c r="BA671" s="288"/>
      <c r="BB671" s="221">
        <f>AX671/AW671*100</f>
        <v>37.580140053470487</v>
      </c>
      <c r="BC671" s="549"/>
      <c r="BD671" s="549"/>
      <c r="BE671" s="549"/>
      <c r="BF671" s="549"/>
      <c r="BG671" s="549"/>
      <c r="BH671" s="676">
        <v>305031.31737159006</v>
      </c>
      <c r="BI671" s="677">
        <f>BH671-BJ671</f>
        <v>228344.04015600006</v>
      </c>
      <c r="BJ671" s="677">
        <v>76687.277215590002</v>
      </c>
      <c r="BK671" s="220">
        <f>BI671/BH671*100</f>
        <v>74.859211874900922</v>
      </c>
      <c r="BL671" s="221">
        <f>BJ671/BH671*100</f>
        <v>25.140788125099078</v>
      </c>
    </row>
    <row r="672" spans="37:95" ht="15.75" thickBot="1" x14ac:dyDescent="0.3">
      <c r="AK672" s="675" t="s">
        <v>569</v>
      </c>
      <c r="AL672" s="704"/>
      <c r="AM672" s="597"/>
      <c r="AN672" s="597"/>
      <c r="AO672" s="597"/>
      <c r="AP672" s="590"/>
      <c r="AQ672" s="704"/>
      <c r="AR672" s="597"/>
      <c r="AS672" s="597"/>
      <c r="AT672" s="597"/>
      <c r="AU672" s="590"/>
      <c r="AV672" s="4">
        <v>315427.16173111094</v>
      </c>
      <c r="AW672" s="4">
        <f>AV672-AX672</f>
        <v>150503.39300100005</v>
      </c>
      <c r="AX672" s="4">
        <v>164923.7687301109</v>
      </c>
      <c r="AY672" s="223">
        <f>AW672/AV672*100</f>
        <v>47.714151240183362</v>
      </c>
      <c r="AZ672" s="478"/>
      <c r="BA672" s="478"/>
      <c r="BB672" s="414">
        <f>AX672/AW672*100</f>
        <v>109.58142899078365</v>
      </c>
      <c r="BC672" s="450"/>
      <c r="BD672" s="450"/>
      <c r="BE672" s="450"/>
      <c r="BF672" s="450"/>
      <c r="BG672" s="450"/>
      <c r="BH672" s="4">
        <v>305627.60866438458</v>
      </c>
      <c r="BI672" s="5">
        <f>BH672-BJ672</f>
        <v>146032.37184553</v>
      </c>
      <c r="BJ672" s="5">
        <v>159595.23681885458</v>
      </c>
      <c r="BK672" s="223">
        <f>BI672/BH672*100</f>
        <v>47.781145323782212</v>
      </c>
      <c r="BL672" s="414">
        <f>BJ672/BH672*100</f>
        <v>52.218854676217788</v>
      </c>
    </row>
    <row r="673" spans="37:67" ht="15.75" thickBot="1" x14ac:dyDescent="0.3">
      <c r="AK673" s="654" t="s">
        <v>570</v>
      </c>
      <c r="AL673" s="705"/>
      <c r="AM673" s="706"/>
      <c r="AN673" s="706"/>
      <c r="AO673" s="706"/>
      <c r="AP673" s="707"/>
      <c r="AQ673" s="705"/>
      <c r="AR673" s="706"/>
      <c r="AS673" s="706"/>
      <c r="AT673" s="706"/>
      <c r="AU673" s="707"/>
      <c r="AV673" s="387">
        <f>AV671+AV672</f>
        <v>644724.62208937097</v>
      </c>
      <c r="AW673" s="388">
        <f>AW671+AW672</f>
        <v>389852.95335926011</v>
      </c>
      <c r="AX673" s="388">
        <f>AX671+AX672</f>
        <v>254871.66873011089</v>
      </c>
      <c r="AY673" s="418">
        <f>AW673/AV673*100</f>
        <v>60.468134766725122</v>
      </c>
      <c r="AZ673" s="708"/>
      <c r="BA673" s="708"/>
      <c r="BB673" s="709">
        <f>AX673/AW673*100</f>
        <v>65.37635960788522</v>
      </c>
      <c r="BC673" s="710"/>
      <c r="BD673" s="710"/>
      <c r="BE673" s="710"/>
      <c r="BF673" s="710"/>
      <c r="BG673" s="710"/>
      <c r="BH673" s="387">
        <f>BH671+BH672</f>
        <v>610658.92603597464</v>
      </c>
      <c r="BI673" s="388">
        <f>BH673-BJ673</f>
        <v>374376.41200153006</v>
      </c>
      <c r="BJ673" s="388">
        <f>BJ671+BJ672</f>
        <v>236282.51403444458</v>
      </c>
      <c r="BK673" s="684">
        <f>BI673/BH673*100</f>
        <v>61.306958113550138</v>
      </c>
      <c r="BL673" s="681">
        <f>BJ673/BH673*100</f>
        <v>38.693041886449869</v>
      </c>
    </row>
    <row r="674" spans="37:67" ht="15.75" thickBot="1" x14ac:dyDescent="0.3">
      <c r="BO674">
        <f>BM665-BM681</f>
        <v>15.423123131314625</v>
      </c>
    </row>
    <row r="675" spans="37:67" ht="15.75" thickBot="1" x14ac:dyDescent="0.3">
      <c r="AK675" s="1134" t="s">
        <v>586</v>
      </c>
      <c r="AL675" s="1129" t="s">
        <v>582</v>
      </c>
      <c r="AM675" s="1129"/>
      <c r="AN675" s="1129"/>
      <c r="AO675" s="1129"/>
      <c r="AP675" s="1129"/>
      <c r="AQ675" s="1129" t="s">
        <v>583</v>
      </c>
      <c r="AR675" s="1129"/>
      <c r="AS675" s="1129"/>
      <c r="AT675" s="1129"/>
      <c r="AU675" s="1129"/>
      <c r="AV675" s="1130" t="s">
        <v>584</v>
      </c>
      <c r="AW675" s="1131"/>
      <c r="AX675" s="1131"/>
      <c r="AY675" s="1131"/>
      <c r="AZ675" s="1131"/>
      <c r="BA675" s="1131"/>
      <c r="BB675" s="1132"/>
      <c r="BC675" s="694"/>
      <c r="BD675" s="694"/>
      <c r="BE675" s="694"/>
      <c r="BF675" s="694"/>
      <c r="BG675" s="694"/>
      <c r="BH675" s="1130" t="s">
        <v>585</v>
      </c>
      <c r="BI675" s="1131"/>
      <c r="BJ675" s="1131"/>
      <c r="BK675" s="1131"/>
      <c r="BL675" s="1132"/>
    </row>
    <row r="676" spans="37:67" ht="30.75" customHeight="1" thickBot="1" x14ac:dyDescent="0.3">
      <c r="AK676" s="1135"/>
      <c r="AL676" s="1133" t="s">
        <v>560</v>
      </c>
      <c r="AM676" s="1133"/>
      <c r="AN676" s="1133"/>
      <c r="AO676" s="1116" t="s">
        <v>561</v>
      </c>
      <c r="AP676" s="1116"/>
      <c r="AQ676" s="1133" t="s">
        <v>560</v>
      </c>
      <c r="AR676" s="1133"/>
      <c r="AS676" s="1133"/>
      <c r="AT676" s="1116" t="s">
        <v>561</v>
      </c>
      <c r="AU676" s="1116"/>
      <c r="AV676" s="1117" t="s">
        <v>560</v>
      </c>
      <c r="AW676" s="1118"/>
      <c r="AX676" s="1119"/>
      <c r="AY676" s="1120" t="s">
        <v>561</v>
      </c>
      <c r="AZ676" s="1137"/>
      <c r="BA676" s="1137"/>
      <c r="BB676" s="1121"/>
      <c r="BC676" s="695"/>
      <c r="BD676" s="695"/>
      <c r="BE676" s="695"/>
      <c r="BF676" s="695"/>
      <c r="BG676" s="695"/>
      <c r="BH676" s="1117" t="s">
        <v>560</v>
      </c>
      <c r="BI676" s="1118"/>
      <c r="BJ676" s="1119"/>
      <c r="BK676" s="1120" t="s">
        <v>561</v>
      </c>
      <c r="BL676" s="1121"/>
    </row>
    <row r="677" spans="37:67" ht="30.75" thickBot="1" x14ac:dyDescent="0.3">
      <c r="AK677" s="1136"/>
      <c r="AL677" s="672" t="s">
        <v>562</v>
      </c>
      <c r="AM677" s="672" t="s">
        <v>563</v>
      </c>
      <c r="AN677" s="672" t="s">
        <v>564</v>
      </c>
      <c r="AO677" s="672" t="s">
        <v>565</v>
      </c>
      <c r="AP677" s="672" t="s">
        <v>566</v>
      </c>
      <c r="AQ677" s="672" t="s">
        <v>562</v>
      </c>
      <c r="AR677" s="672" t="s">
        <v>563</v>
      </c>
      <c r="AS677" s="672" t="s">
        <v>564</v>
      </c>
      <c r="AT677" s="672" t="s">
        <v>567</v>
      </c>
      <c r="AU677" s="672" t="s">
        <v>566</v>
      </c>
      <c r="AV677" s="672" t="s">
        <v>562</v>
      </c>
      <c r="AW677" s="672" t="s">
        <v>563</v>
      </c>
      <c r="AX677" s="672" t="s">
        <v>564</v>
      </c>
      <c r="AY677" s="672" t="s">
        <v>567</v>
      </c>
      <c r="AZ677" s="672"/>
      <c r="BA677" s="672"/>
      <c r="BB677" s="672" t="s">
        <v>566</v>
      </c>
      <c r="BC677" s="672"/>
      <c r="BD677" s="672"/>
      <c r="BE677" s="672"/>
      <c r="BF677" s="672"/>
      <c r="BG677" s="672"/>
      <c r="BH677" s="672" t="s">
        <v>562</v>
      </c>
      <c r="BI677" s="672" t="s">
        <v>563</v>
      </c>
      <c r="BJ677" s="672" t="s">
        <v>564</v>
      </c>
      <c r="BK677" s="672" t="s">
        <v>567</v>
      </c>
      <c r="BL677" s="672" t="s">
        <v>566</v>
      </c>
    </row>
    <row r="678" spans="37:67" ht="15.75" thickBot="1" x14ac:dyDescent="0.3">
      <c r="AK678" s="675" t="s">
        <v>568</v>
      </c>
      <c r="AL678" s="701"/>
      <c r="AM678" s="702"/>
      <c r="AN678" s="702"/>
      <c r="AO678" s="702"/>
      <c r="AP678" s="703"/>
      <c r="AQ678" s="701"/>
      <c r="AR678" s="702"/>
      <c r="AS678" s="702"/>
      <c r="AT678" s="702"/>
      <c r="AU678" s="703"/>
      <c r="AV678" s="701"/>
      <c r="AW678" s="702"/>
      <c r="AX678" s="702"/>
      <c r="AY678" s="702"/>
      <c r="AZ678" s="711"/>
      <c r="BA678" s="711"/>
      <c r="BB678" s="703"/>
      <c r="BC678" s="712"/>
      <c r="BD678" s="712"/>
      <c r="BE678" s="712"/>
      <c r="BF678" s="712"/>
      <c r="BG678" s="712"/>
      <c r="BH678" s="676">
        <f>'[15]2017. IV. - Állományi'!M28</f>
        <v>4126.7815629999996</v>
      </c>
      <c r="BI678" s="677">
        <f>BH678-BJ678</f>
        <v>2306.2049829999996</v>
      </c>
      <c r="BJ678" s="677">
        <f>'[15]2017. IV. - Állományi'!N28</f>
        <v>1820.5765799999999</v>
      </c>
      <c r="BK678" s="220">
        <f>BI678/BH678*100</f>
        <v>55.883863679072078</v>
      </c>
      <c r="BL678" s="220">
        <f>BJ678/BH678*100</f>
        <v>44.116136320927922</v>
      </c>
    </row>
    <row r="679" spans="37:67" ht="15.75" thickBot="1" x14ac:dyDescent="0.3">
      <c r="AK679" s="675" t="s">
        <v>572</v>
      </c>
      <c r="AL679" s="704"/>
      <c r="AM679" s="597"/>
      <c r="AN679" s="597"/>
      <c r="AO679" s="597"/>
      <c r="AP679" s="590"/>
      <c r="AQ679" s="704"/>
      <c r="AR679" s="597"/>
      <c r="AS679" s="597"/>
      <c r="AT679" s="597"/>
      <c r="AU679" s="590"/>
      <c r="AV679" s="704"/>
      <c r="AW679" s="597"/>
      <c r="AX679" s="597"/>
      <c r="AY679" s="597"/>
      <c r="AZ679" s="713"/>
      <c r="BA679" s="713"/>
      <c r="BB679" s="590"/>
      <c r="BC679" s="714"/>
      <c r="BD679" s="714"/>
      <c r="BE679" s="714"/>
      <c r="BF679" s="714"/>
      <c r="BG679" s="714"/>
      <c r="BH679" s="676">
        <f>'[15]2017. IV. - Állományi'!M67</f>
        <v>455838.51163369982</v>
      </c>
      <c r="BI679" s="5">
        <f>BH679-BJ679</f>
        <v>213632.75883251868</v>
      </c>
      <c r="BJ679" s="677">
        <f>'[15]2017. IV. - Állományi'!N67</f>
        <v>242205.75280118114</v>
      </c>
      <c r="BK679" s="220">
        <f>BI679/BH679*100</f>
        <v>46.865886356743047</v>
      </c>
      <c r="BL679" s="220">
        <f>BJ679/BH679*100</f>
        <v>53.134113643256953</v>
      </c>
    </row>
    <row r="680" spans="37:67" ht="15.75" thickBot="1" x14ac:dyDescent="0.3">
      <c r="AK680" s="654" t="s">
        <v>573</v>
      </c>
      <c r="AL680" s="705"/>
      <c r="AM680" s="706"/>
      <c r="AN680" s="706"/>
      <c r="AO680" s="706"/>
      <c r="AP680" s="707"/>
      <c r="AQ680" s="705"/>
      <c r="AR680" s="706"/>
      <c r="AS680" s="706"/>
      <c r="AT680" s="706"/>
      <c r="AU680" s="707"/>
      <c r="AV680" s="705"/>
      <c r="AW680" s="706"/>
      <c r="AX680" s="706"/>
      <c r="AY680" s="706"/>
      <c r="AZ680" s="715"/>
      <c r="BA680" s="715"/>
      <c r="BB680" s="707"/>
      <c r="BC680" s="716"/>
      <c r="BD680" s="716"/>
      <c r="BE680" s="716"/>
      <c r="BF680" s="716"/>
      <c r="BG680" s="716"/>
      <c r="BH680" s="387">
        <f>SUM(BH678:BH679)</f>
        <v>459965.29319669981</v>
      </c>
      <c r="BI680" s="388">
        <f>BI678+BI679</f>
        <v>215938.96381551868</v>
      </c>
      <c r="BJ680" s="388">
        <f>BJ678+BJ679</f>
        <v>244026.32938118113</v>
      </c>
      <c r="BK680" s="684">
        <f>BI680/BH680*100</f>
        <v>46.946795118990515</v>
      </c>
      <c r="BL680" s="684">
        <f>BJ680/BH680*100</f>
        <v>53.053204881009485</v>
      </c>
    </row>
    <row r="681" spans="37:67" ht="15.75" thickBot="1" x14ac:dyDescent="0.3">
      <c r="BH681" s="1">
        <f>BH673+BH680</f>
        <v>1070624.2192326745</v>
      </c>
      <c r="BI681" s="1">
        <f>BI673+BI680</f>
        <v>590315.37581704871</v>
      </c>
      <c r="BJ681" s="1">
        <f>BJ673+BJ680</f>
        <v>480308.84341562574</v>
      </c>
      <c r="BM681">
        <f>BJ681/BH681*100</f>
        <v>44.862504956208369</v>
      </c>
    </row>
    <row r="682" spans="37:67" x14ac:dyDescent="0.25">
      <c r="BH682" s="27">
        <f>BH665/BH681*100-100</f>
        <v>-53.108315187443779</v>
      </c>
      <c r="BI682" s="220">
        <f>BI681/BH681*100</f>
        <v>55.137495043791631</v>
      </c>
      <c r="BJ682" s="1">
        <f>BJ665-BJ681</f>
        <v>-177654.65341562574</v>
      </c>
    </row>
    <row r="683" spans="37:67" ht="15.75" thickBot="1" x14ac:dyDescent="0.3"/>
    <row r="684" spans="37:67" ht="15.75" thickBot="1" x14ac:dyDescent="0.3">
      <c r="AK684" s="1126" t="s">
        <v>587</v>
      </c>
      <c r="AL684" s="1129" t="s">
        <v>0</v>
      </c>
      <c r="AM684" s="1129"/>
      <c r="AN684" s="1129"/>
      <c r="AO684" s="1129"/>
      <c r="AP684" s="1129"/>
      <c r="AQ684" s="1129" t="s">
        <v>588</v>
      </c>
      <c r="AR684" s="1129"/>
      <c r="AS684" s="1129"/>
      <c r="AT684" s="1129"/>
      <c r="AU684" s="1129"/>
      <c r="AV684" s="1130" t="s">
        <v>589</v>
      </c>
      <c r="AW684" s="1131"/>
      <c r="AX684" s="1131"/>
      <c r="AY684" s="1131"/>
      <c r="AZ684" s="1131"/>
      <c r="BA684" s="1131"/>
      <c r="BB684" s="1132"/>
      <c r="BC684" s="694"/>
      <c r="BD684" s="694"/>
      <c r="BE684" s="694"/>
      <c r="BF684" s="694"/>
      <c r="BG684" s="694"/>
      <c r="BH684" s="1130" t="s">
        <v>590</v>
      </c>
      <c r="BI684" s="1131"/>
      <c r="BJ684" s="1131"/>
      <c r="BK684" s="1131"/>
      <c r="BL684" s="1132"/>
    </row>
    <row r="685" spans="37:67" ht="30.75" customHeight="1" thickBot="1" x14ac:dyDescent="0.3">
      <c r="AK685" s="1127"/>
      <c r="AL685" s="1133" t="s">
        <v>560</v>
      </c>
      <c r="AM685" s="1133"/>
      <c r="AN685" s="1133"/>
      <c r="AO685" s="1116" t="s">
        <v>561</v>
      </c>
      <c r="AP685" s="1116"/>
      <c r="AQ685" s="1133" t="s">
        <v>560</v>
      </c>
      <c r="AR685" s="1133"/>
      <c r="AS685" s="1133"/>
      <c r="AT685" s="1116" t="s">
        <v>561</v>
      </c>
      <c r="AU685" s="1116"/>
      <c r="AV685" s="1117" t="s">
        <v>560</v>
      </c>
      <c r="AW685" s="1118"/>
      <c r="AX685" s="1119"/>
      <c r="AY685" s="1120" t="s">
        <v>561</v>
      </c>
      <c r="AZ685" s="1137"/>
      <c r="BA685" s="1137"/>
      <c r="BB685" s="1121"/>
      <c r="BC685" s="695"/>
      <c r="BD685" s="695"/>
      <c r="BE685" s="695"/>
      <c r="BF685" s="695"/>
      <c r="BG685" s="695"/>
      <c r="BH685" s="1117" t="s">
        <v>560</v>
      </c>
      <c r="BI685" s="1118"/>
      <c r="BJ685" s="1119"/>
      <c r="BK685" s="1120" t="s">
        <v>561</v>
      </c>
      <c r="BL685" s="1121"/>
    </row>
    <row r="686" spans="37:67" ht="30.75" thickBot="1" x14ac:dyDescent="0.3">
      <c r="AK686" s="1128"/>
      <c r="AL686" s="672" t="s">
        <v>562</v>
      </c>
      <c r="AM686" s="672" t="s">
        <v>563</v>
      </c>
      <c r="AN686" s="672" t="s">
        <v>564</v>
      </c>
      <c r="AO686" s="672" t="s">
        <v>565</v>
      </c>
      <c r="AP686" s="672" t="s">
        <v>566</v>
      </c>
      <c r="AQ686" s="672" t="s">
        <v>562</v>
      </c>
      <c r="AR686" s="672" t="s">
        <v>563</v>
      </c>
      <c r="AS686" s="672" t="s">
        <v>564</v>
      </c>
      <c r="AT686" s="672" t="s">
        <v>567</v>
      </c>
      <c r="AU686" s="672" t="s">
        <v>566</v>
      </c>
      <c r="AV686" s="672" t="s">
        <v>562</v>
      </c>
      <c r="AW686" s="672" t="s">
        <v>563</v>
      </c>
      <c r="AX686" s="672" t="s">
        <v>564</v>
      </c>
      <c r="AY686" s="672" t="s">
        <v>567</v>
      </c>
      <c r="AZ686" s="672"/>
      <c r="BA686" s="672"/>
      <c r="BB686" s="672" t="s">
        <v>566</v>
      </c>
      <c r="BC686" s="672"/>
      <c r="BD686" s="672"/>
      <c r="BE686" s="672"/>
      <c r="BF686" s="672"/>
      <c r="BG686" s="672"/>
      <c r="BH686" s="672" t="s">
        <v>562</v>
      </c>
      <c r="BI686" s="672" t="s">
        <v>563</v>
      </c>
      <c r="BJ686" s="672" t="s">
        <v>564</v>
      </c>
      <c r="BK686" s="672" t="s">
        <v>567</v>
      </c>
      <c r="BL686" s="672" t="s">
        <v>566</v>
      </c>
    </row>
    <row r="687" spans="37:67" ht="15.75" thickBot="1" x14ac:dyDescent="0.3">
      <c r="AK687" s="675" t="s">
        <v>568</v>
      </c>
      <c r="AL687" s="701"/>
      <c r="AM687" s="702"/>
      <c r="AN687" s="702"/>
      <c r="AO687" s="702"/>
      <c r="AP687" s="703"/>
      <c r="AQ687" s="701"/>
      <c r="AR687" s="702"/>
      <c r="AS687" s="702"/>
      <c r="AT687" s="702"/>
      <c r="AU687" s="703"/>
      <c r="AV687" s="701"/>
      <c r="AW687" s="702"/>
      <c r="AX687" s="702"/>
      <c r="AY687" s="702"/>
      <c r="AZ687" s="711"/>
      <c r="BA687" s="711"/>
      <c r="BB687" s="703"/>
      <c r="BC687" s="712"/>
      <c r="BD687" s="712"/>
      <c r="BE687" s="712"/>
      <c r="BF687" s="712"/>
      <c r="BG687" s="712"/>
      <c r="BH687" s="701"/>
      <c r="BI687" s="702"/>
      <c r="BJ687" s="702"/>
      <c r="BK687" s="702"/>
      <c r="BL687" s="703"/>
    </row>
    <row r="688" spans="37:67" ht="15.75" thickBot="1" x14ac:dyDescent="0.3">
      <c r="AK688" s="675" t="s">
        <v>569</v>
      </c>
      <c r="AL688" s="704"/>
      <c r="AM688" s="597"/>
      <c r="AN688" s="597"/>
      <c r="AO688" s="597"/>
      <c r="AP688" s="590"/>
      <c r="AQ688" s="704"/>
      <c r="AR688" s="597"/>
      <c r="AS688" s="597"/>
      <c r="AT688" s="597"/>
      <c r="AU688" s="590"/>
      <c r="AV688" s="704"/>
      <c r="AW688" s="597"/>
      <c r="AX688" s="597"/>
      <c r="AY688" s="597"/>
      <c r="AZ688" s="713"/>
      <c r="BA688" s="713"/>
      <c r="BB688" s="590"/>
      <c r="BC688" s="717"/>
      <c r="BD688" s="717"/>
      <c r="BE688" s="717"/>
      <c r="BF688" s="717"/>
      <c r="BG688" s="717"/>
      <c r="BH688" s="704"/>
      <c r="BI688" s="597"/>
      <c r="BJ688" s="597"/>
      <c r="BK688" s="597"/>
      <c r="BL688" s="590"/>
    </row>
    <row r="689" spans="37:64" ht="15.75" thickBot="1" x14ac:dyDescent="0.3">
      <c r="AK689" s="654" t="s">
        <v>570</v>
      </c>
      <c r="AL689" s="705"/>
      <c r="AM689" s="706"/>
      <c r="AN689" s="706"/>
      <c r="AO689" s="706"/>
      <c r="AP689" s="707"/>
      <c r="AQ689" s="705"/>
      <c r="AR689" s="706"/>
      <c r="AS689" s="706"/>
      <c r="AT689" s="706"/>
      <c r="AU689" s="707"/>
      <c r="AV689" s="705"/>
      <c r="AW689" s="706"/>
      <c r="AX689" s="706"/>
      <c r="AY689" s="706"/>
      <c r="AZ689" s="715"/>
      <c r="BA689" s="715"/>
      <c r="BB689" s="707"/>
      <c r="BC689" s="716"/>
      <c r="BD689" s="716"/>
      <c r="BE689" s="716"/>
      <c r="BF689" s="716"/>
      <c r="BG689" s="716"/>
      <c r="BH689" s="705"/>
      <c r="BI689" s="706"/>
      <c r="BJ689" s="706"/>
      <c r="BK689" s="706"/>
      <c r="BL689" s="707"/>
    </row>
    <row r="690" spans="37:64" ht="15.75" thickBot="1" x14ac:dyDescent="0.3"/>
    <row r="691" spans="37:64" ht="15.75" thickBot="1" x14ac:dyDescent="0.3">
      <c r="AK691" s="1134" t="s">
        <v>591</v>
      </c>
      <c r="AL691" s="1129" t="s">
        <v>0</v>
      </c>
      <c r="AM691" s="1129"/>
      <c r="AN691" s="1129"/>
      <c r="AO691" s="1129"/>
      <c r="AP691" s="1129"/>
      <c r="AQ691" s="1129" t="s">
        <v>588</v>
      </c>
      <c r="AR691" s="1129"/>
      <c r="AS691" s="1129"/>
      <c r="AT691" s="1129"/>
      <c r="AU691" s="1129"/>
      <c r="AV691" s="1130" t="s">
        <v>589</v>
      </c>
      <c r="AW691" s="1131"/>
      <c r="AX691" s="1131"/>
      <c r="AY691" s="1131"/>
      <c r="AZ691" s="1131"/>
      <c r="BA691" s="1131"/>
      <c r="BB691" s="1132"/>
      <c r="BC691" s="694"/>
      <c r="BD691" s="694"/>
      <c r="BE691" s="694"/>
      <c r="BF691" s="694"/>
      <c r="BG691" s="694"/>
      <c r="BH691" s="1130" t="s">
        <v>590</v>
      </c>
      <c r="BI691" s="1131"/>
      <c r="BJ691" s="1131"/>
      <c r="BK691" s="1131"/>
      <c r="BL691" s="1132"/>
    </row>
    <row r="692" spans="37:64" ht="30.75" customHeight="1" thickBot="1" x14ac:dyDescent="0.3">
      <c r="AK692" s="1135"/>
      <c r="AL692" s="1133" t="s">
        <v>560</v>
      </c>
      <c r="AM692" s="1133"/>
      <c r="AN692" s="1133"/>
      <c r="AO692" s="1116" t="s">
        <v>561</v>
      </c>
      <c r="AP692" s="1116"/>
      <c r="AQ692" s="1133" t="s">
        <v>560</v>
      </c>
      <c r="AR692" s="1133"/>
      <c r="AS692" s="1133"/>
      <c r="AT692" s="1116" t="s">
        <v>561</v>
      </c>
      <c r="AU692" s="1116"/>
      <c r="AV692" s="1117" t="s">
        <v>560</v>
      </c>
      <c r="AW692" s="1118"/>
      <c r="AX692" s="1119"/>
      <c r="AY692" s="1120" t="s">
        <v>561</v>
      </c>
      <c r="AZ692" s="1137"/>
      <c r="BA692" s="1137"/>
      <c r="BB692" s="1121"/>
      <c r="BC692" s="695"/>
      <c r="BD692" s="695"/>
      <c r="BE692" s="695"/>
      <c r="BF692" s="695"/>
      <c r="BG692" s="695"/>
      <c r="BH692" s="1117" t="s">
        <v>560</v>
      </c>
      <c r="BI692" s="1118"/>
      <c r="BJ692" s="1119"/>
      <c r="BK692" s="1120" t="s">
        <v>561</v>
      </c>
      <c r="BL692" s="1121"/>
    </row>
    <row r="693" spans="37:64" ht="30.75" thickBot="1" x14ac:dyDescent="0.3">
      <c r="AK693" s="1136"/>
      <c r="AL693" s="672" t="s">
        <v>562</v>
      </c>
      <c r="AM693" s="672" t="s">
        <v>563</v>
      </c>
      <c r="AN693" s="672" t="s">
        <v>564</v>
      </c>
      <c r="AO693" s="672" t="s">
        <v>565</v>
      </c>
      <c r="AP693" s="672" t="s">
        <v>566</v>
      </c>
      <c r="AQ693" s="672" t="s">
        <v>562</v>
      </c>
      <c r="AR693" s="672" t="s">
        <v>563</v>
      </c>
      <c r="AS693" s="672" t="s">
        <v>564</v>
      </c>
      <c r="AT693" s="672" t="s">
        <v>567</v>
      </c>
      <c r="AU693" s="672" t="s">
        <v>566</v>
      </c>
      <c r="AV693" s="672" t="s">
        <v>562</v>
      </c>
      <c r="AW693" s="672" t="s">
        <v>563</v>
      </c>
      <c r="AX693" s="672" t="s">
        <v>564</v>
      </c>
      <c r="AY693" s="672" t="s">
        <v>567</v>
      </c>
      <c r="AZ693" s="672"/>
      <c r="BA693" s="672"/>
      <c r="BB693" s="672" t="s">
        <v>566</v>
      </c>
      <c r="BC693" s="672"/>
      <c r="BD693" s="672"/>
      <c r="BE693" s="672"/>
      <c r="BF693" s="672"/>
      <c r="BG693" s="672"/>
      <c r="BH693" s="672" t="s">
        <v>562</v>
      </c>
      <c r="BI693" s="672" t="s">
        <v>563</v>
      </c>
      <c r="BJ693" s="672" t="s">
        <v>564</v>
      </c>
      <c r="BK693" s="672" t="s">
        <v>567</v>
      </c>
      <c r="BL693" s="672" t="s">
        <v>566</v>
      </c>
    </row>
    <row r="694" spans="37:64" ht="15.75" thickBot="1" x14ac:dyDescent="0.3">
      <c r="AK694" s="675" t="s">
        <v>568</v>
      </c>
      <c r="AL694" s="701"/>
      <c r="AM694" s="702"/>
      <c r="AN694" s="702"/>
      <c r="AO694" s="702"/>
      <c r="AP694" s="703"/>
      <c r="AQ694" s="701"/>
      <c r="AR694" s="702"/>
      <c r="AS694" s="702"/>
      <c r="AT694" s="702"/>
      <c r="AU694" s="703"/>
      <c r="AV694" s="701"/>
      <c r="AW694" s="702"/>
      <c r="AX694" s="702"/>
      <c r="AY694" s="702"/>
      <c r="AZ694" s="711"/>
      <c r="BA694" s="711"/>
      <c r="BB694" s="703"/>
      <c r="BC694" s="712"/>
      <c r="BD694" s="712"/>
      <c r="BE694" s="712"/>
      <c r="BF694" s="712"/>
      <c r="BG694" s="712"/>
      <c r="BH694" s="701"/>
      <c r="BI694" s="702"/>
      <c r="BJ694" s="702"/>
      <c r="BK694" s="702"/>
      <c r="BL694" s="703"/>
    </row>
    <row r="695" spans="37:64" ht="15.75" thickBot="1" x14ac:dyDescent="0.3">
      <c r="AK695" s="675" t="s">
        <v>572</v>
      </c>
      <c r="AL695" s="704"/>
      <c r="AM695" s="597"/>
      <c r="AN695" s="597"/>
      <c r="AO695" s="597"/>
      <c r="AP695" s="590"/>
      <c r="AQ695" s="704"/>
      <c r="AR695" s="597"/>
      <c r="AS695" s="597"/>
      <c r="AT695" s="597"/>
      <c r="AU695" s="590"/>
      <c r="AV695" s="704"/>
      <c r="AW695" s="597"/>
      <c r="AX695" s="597"/>
      <c r="AY695" s="597"/>
      <c r="AZ695" s="713"/>
      <c r="BA695" s="713"/>
      <c r="BB695" s="590"/>
      <c r="BC695" s="717"/>
      <c r="BD695" s="717"/>
      <c r="BE695" s="717"/>
      <c r="BF695" s="717"/>
      <c r="BG695" s="717"/>
      <c r="BH695" s="704"/>
      <c r="BI695" s="597"/>
      <c r="BJ695" s="597"/>
      <c r="BK695" s="597"/>
      <c r="BL695" s="590"/>
    </row>
    <row r="696" spans="37:64" ht="15.75" thickBot="1" x14ac:dyDescent="0.3">
      <c r="AK696" s="654" t="s">
        <v>573</v>
      </c>
      <c r="AL696" s="705"/>
      <c r="AM696" s="706"/>
      <c r="AN696" s="706"/>
      <c r="AO696" s="706"/>
      <c r="AP696" s="707"/>
      <c r="AQ696" s="705"/>
      <c r="AR696" s="706"/>
      <c r="AS696" s="706"/>
      <c r="AT696" s="706"/>
      <c r="AU696" s="707"/>
      <c r="AV696" s="705"/>
      <c r="AW696" s="706"/>
      <c r="AX696" s="706"/>
      <c r="AY696" s="706"/>
      <c r="AZ696" s="715"/>
      <c r="BA696" s="715"/>
      <c r="BB696" s="707"/>
      <c r="BC696" s="716"/>
      <c r="BD696" s="716"/>
      <c r="BE696" s="716"/>
      <c r="BF696" s="716"/>
      <c r="BG696" s="716"/>
      <c r="BH696" s="705"/>
      <c r="BI696" s="706"/>
      <c r="BJ696" s="706"/>
      <c r="BK696" s="706"/>
      <c r="BL696" s="707"/>
    </row>
    <row r="697" spans="37:64" ht="15.75" customHeight="1" x14ac:dyDescent="0.25"/>
    <row r="698" spans="37:64" ht="15.75" thickBot="1" x14ac:dyDescent="0.3"/>
    <row r="699" spans="37:64" ht="21.75" thickBot="1" x14ac:dyDescent="0.4">
      <c r="AK699" s="1138" t="s">
        <v>592</v>
      </c>
      <c r="AL699" s="1139"/>
      <c r="AM699" s="1139"/>
      <c r="AN699" s="1139"/>
      <c r="AO699" s="1139"/>
      <c r="AP699" s="1139"/>
      <c r="AQ699" s="1139"/>
      <c r="AR699" s="1139"/>
      <c r="AS699" s="1139"/>
      <c r="AT699" s="1139"/>
      <c r="AU699" s="1139"/>
      <c r="AV699" s="1139"/>
      <c r="AW699" s="1139"/>
      <c r="AX699" s="1139"/>
      <c r="AY699" s="1139"/>
      <c r="AZ699" s="1139"/>
      <c r="BA699" s="1139"/>
      <c r="BB699" s="1139"/>
      <c r="BC699" s="1139"/>
      <c r="BD699" s="1139"/>
      <c r="BE699" s="1139"/>
      <c r="BF699" s="1139"/>
      <c r="BG699" s="1139"/>
      <c r="BH699" s="1139"/>
      <c r="BI699" s="1139"/>
      <c r="BJ699" s="1139"/>
      <c r="BK699" s="1139"/>
      <c r="BL699" s="1140"/>
    </row>
    <row r="701" spans="37:64" ht="15.75" thickBot="1" x14ac:dyDescent="0.3"/>
    <row r="702" spans="37:64" ht="15.75" thickBot="1" x14ac:dyDescent="0.3">
      <c r="AK702" s="1126" t="s">
        <v>593</v>
      </c>
      <c r="AL702" s="1130" t="s">
        <v>557</v>
      </c>
      <c r="AM702" s="1131"/>
      <c r="AN702" s="1131"/>
      <c r="AO702" s="1131"/>
      <c r="AP702" s="1132"/>
      <c r="AQ702" s="1130" t="s">
        <v>558</v>
      </c>
      <c r="AR702" s="1131"/>
      <c r="AS702" s="1131"/>
      <c r="AT702" s="1131"/>
      <c r="AU702" s="1132"/>
      <c r="AV702" s="1130" t="s">
        <v>559</v>
      </c>
      <c r="AW702" s="1131"/>
      <c r="AX702" s="1131"/>
      <c r="AY702" s="1131"/>
      <c r="AZ702" s="1131"/>
      <c r="BA702" s="1131"/>
      <c r="BB702" s="1132"/>
      <c r="BC702" s="694"/>
      <c r="BD702" s="694"/>
      <c r="BE702" s="694"/>
      <c r="BF702" s="694"/>
      <c r="BG702" s="694"/>
      <c r="BH702" s="1130" t="s">
        <v>52</v>
      </c>
      <c r="BI702" s="1131"/>
      <c r="BJ702" s="1131"/>
      <c r="BK702" s="1131"/>
      <c r="BL702" s="1132"/>
    </row>
    <row r="703" spans="37:64" ht="15.75" thickBot="1" x14ac:dyDescent="0.3">
      <c r="AK703" s="1141"/>
      <c r="AL703" s="1117" t="s">
        <v>560</v>
      </c>
      <c r="AM703" s="1118"/>
      <c r="AN703" s="1119"/>
      <c r="AO703" s="1120" t="s">
        <v>561</v>
      </c>
      <c r="AP703" s="1121"/>
      <c r="AQ703" s="1117" t="s">
        <v>560</v>
      </c>
      <c r="AR703" s="1118"/>
      <c r="AS703" s="1119"/>
      <c r="AT703" s="1120" t="s">
        <v>561</v>
      </c>
      <c r="AU703" s="1121"/>
      <c r="AV703" s="1117" t="s">
        <v>560</v>
      </c>
      <c r="AW703" s="1118"/>
      <c r="AX703" s="1119"/>
      <c r="AY703" s="1120" t="s">
        <v>561</v>
      </c>
      <c r="AZ703" s="1137"/>
      <c r="BA703" s="1137"/>
      <c r="BB703" s="1121"/>
      <c r="BC703" s="695"/>
      <c r="BD703" s="695"/>
      <c r="BE703" s="695"/>
      <c r="BF703" s="695"/>
      <c r="BG703" s="695"/>
      <c r="BH703" s="1117" t="s">
        <v>560</v>
      </c>
      <c r="BI703" s="1118"/>
      <c r="BJ703" s="1119"/>
      <c r="BK703" s="1120" t="s">
        <v>561</v>
      </c>
      <c r="BL703" s="1121"/>
    </row>
    <row r="704" spans="37:64" ht="30.75" thickBot="1" x14ac:dyDescent="0.3">
      <c r="AK704" s="1142"/>
      <c r="AL704" s="672" t="s">
        <v>562</v>
      </c>
      <c r="AM704" s="672" t="s">
        <v>594</v>
      </c>
      <c r="AN704" s="672" t="s">
        <v>595</v>
      </c>
      <c r="AO704" s="672" t="s">
        <v>596</v>
      </c>
      <c r="AP704" s="672" t="s">
        <v>597</v>
      </c>
      <c r="AQ704" s="672" t="s">
        <v>562</v>
      </c>
      <c r="AR704" s="672" t="s">
        <v>594</v>
      </c>
      <c r="AS704" s="672" t="s">
        <v>595</v>
      </c>
      <c r="AT704" s="672" t="s">
        <v>596</v>
      </c>
      <c r="AU704" s="672" t="s">
        <v>597</v>
      </c>
      <c r="AV704" s="672" t="s">
        <v>562</v>
      </c>
      <c r="AW704" s="672" t="s">
        <v>594</v>
      </c>
      <c r="AX704" s="672" t="s">
        <v>595</v>
      </c>
      <c r="AY704" s="672" t="s">
        <v>596</v>
      </c>
      <c r="AZ704" s="672"/>
      <c r="BA704" s="672"/>
      <c r="BB704" s="672" t="s">
        <v>597</v>
      </c>
      <c r="BC704" s="672"/>
      <c r="BD704" s="672"/>
      <c r="BE704" s="672"/>
      <c r="BF704" s="672"/>
      <c r="BG704" s="672"/>
      <c r="BH704" s="672" t="s">
        <v>562</v>
      </c>
      <c r="BI704" s="672" t="s">
        <v>594</v>
      </c>
      <c r="BJ704" s="672" t="s">
        <v>595</v>
      </c>
      <c r="BK704" s="672" t="s">
        <v>598</v>
      </c>
      <c r="BL704" s="672" t="s">
        <v>597</v>
      </c>
    </row>
    <row r="705" spans="37:64" ht="15.75" thickBot="1" x14ac:dyDescent="0.3">
      <c r="AK705" s="675" t="s">
        <v>568</v>
      </c>
      <c r="AL705" s="697">
        <f>AM705+AN705</f>
        <v>310092</v>
      </c>
      <c r="AM705" s="677">
        <f>'[15]2019. I. Állományi'!J17</f>
        <v>304477</v>
      </c>
      <c r="AN705" s="678">
        <f>'[15]2019. I. Állományi'!P17</f>
        <v>5615</v>
      </c>
      <c r="AO705" s="245">
        <f>AM705/AL705*100</f>
        <v>98.189247062162195</v>
      </c>
      <c r="AP705" s="221">
        <f>AN705/AL705*100</f>
        <v>1.8107529378378031</v>
      </c>
      <c r="AQ705" s="697" t="e">
        <f>AR705+AS705</f>
        <v>#REF!</v>
      </c>
      <c r="AR705" s="677" t="e">
        <f>#REF!</f>
        <v>#REF!</v>
      </c>
      <c r="AS705" s="677" t="e">
        <f>#REF!</f>
        <v>#REF!</v>
      </c>
      <c r="AT705" s="220" t="e">
        <f>AR705/AQ705*100</f>
        <v>#REF!</v>
      </c>
      <c r="AU705" s="221" t="e">
        <f>AS705/AQ705*100</f>
        <v>#REF!</v>
      </c>
      <c r="AV705" s="697"/>
      <c r="AW705" s="677"/>
      <c r="AX705" s="677"/>
      <c r="AY705" s="220"/>
      <c r="AZ705" s="220"/>
      <c r="BA705" s="220"/>
      <c r="BB705" s="220"/>
      <c r="BC705" s="287"/>
      <c r="BD705" s="287"/>
      <c r="BE705" s="287"/>
      <c r="BF705" s="287"/>
      <c r="BG705" s="287"/>
      <c r="BH705" s="697"/>
      <c r="BI705" s="677"/>
      <c r="BJ705" s="677"/>
      <c r="BK705" s="220"/>
      <c r="BL705" s="220"/>
    </row>
    <row r="706" spans="37:64" ht="15.75" thickBot="1" x14ac:dyDescent="0.3">
      <c r="AK706" s="675" t="s">
        <v>569</v>
      </c>
      <c r="AL706" s="585">
        <f>AM706+AN706</f>
        <v>332572</v>
      </c>
      <c r="AM706" s="5">
        <f>'[15]2019. I. Állományi'!J59</f>
        <v>281408</v>
      </c>
      <c r="AN706" s="28">
        <f>'[15]2019. I. Állományi'!P59</f>
        <v>51164</v>
      </c>
      <c r="AO706" s="248">
        <f>AM706/AL706*100</f>
        <v>84.615662172401755</v>
      </c>
      <c r="AP706" s="414">
        <f>AN706/AL706*100</f>
        <v>15.384337827598236</v>
      </c>
      <c r="AQ706" s="585" t="e">
        <f>AR706+AS706</f>
        <v>#REF!</v>
      </c>
      <c r="AR706" s="5" t="e">
        <f>#REF!</f>
        <v>#REF!</v>
      </c>
      <c r="AS706" s="5" t="e">
        <f>#REF!</f>
        <v>#REF!</v>
      </c>
      <c r="AT706" s="223" t="e">
        <f>AR706/AQ706*100</f>
        <v>#REF!</v>
      </c>
      <c r="AU706" s="223" t="e">
        <f>AS706/AQ706*100</f>
        <v>#REF!</v>
      </c>
      <c r="AV706" s="585"/>
      <c r="AW706" s="5"/>
      <c r="AX706" s="5"/>
      <c r="AY706" s="223"/>
      <c r="AZ706" s="223"/>
      <c r="BA706" s="223"/>
      <c r="BB706" s="223"/>
      <c r="BC706" s="449"/>
      <c r="BD706" s="449"/>
      <c r="BE706" s="449"/>
      <c r="BF706" s="449"/>
      <c r="BG706" s="449"/>
      <c r="BH706" s="585"/>
      <c r="BI706" s="5"/>
      <c r="BJ706" s="5"/>
      <c r="BK706" s="223"/>
      <c r="BL706" s="223"/>
    </row>
    <row r="707" spans="37:64" ht="15.75" thickBot="1" x14ac:dyDescent="0.3">
      <c r="AK707" s="654" t="s">
        <v>570</v>
      </c>
      <c r="AL707" s="700">
        <f>AM707+AN707</f>
        <v>642664</v>
      </c>
      <c r="AM707" s="388">
        <f>AM705+AM706</f>
        <v>585885</v>
      </c>
      <c r="AN707" s="389">
        <f>AN705+AN706</f>
        <v>56779</v>
      </c>
      <c r="AO707" s="680">
        <f>AM707/AL707*100</f>
        <v>91.165056701480083</v>
      </c>
      <c r="AP707" s="681">
        <f>AN707/AL707*100</f>
        <v>8.8349432985199101</v>
      </c>
      <c r="AQ707" s="700" t="e">
        <f>AQ705+AQ706</f>
        <v>#REF!</v>
      </c>
      <c r="AR707" s="388" t="e">
        <f>AR705+AR706</f>
        <v>#REF!</v>
      </c>
      <c r="AS707" s="388" t="e">
        <f>AS705+AS706</f>
        <v>#REF!</v>
      </c>
      <c r="AT707" s="684" t="e">
        <f>AR707/AQ707*100</f>
        <v>#REF!</v>
      </c>
      <c r="AU707" s="684" t="e">
        <f>AS707/AQ707*100</f>
        <v>#REF!</v>
      </c>
      <c r="AV707" s="700"/>
      <c r="AW707" s="388"/>
      <c r="AX707" s="388"/>
      <c r="AY707" s="684"/>
      <c r="AZ707" s="688"/>
      <c r="BA707" s="688"/>
      <c r="BB707" s="681"/>
      <c r="BC707" s="685"/>
      <c r="BD707" s="685"/>
      <c r="BE707" s="685"/>
      <c r="BF707" s="685"/>
      <c r="BG707" s="685"/>
      <c r="BH707" s="700"/>
      <c r="BI707" s="388"/>
      <c r="BJ707" s="388"/>
      <c r="BK707" s="684"/>
      <c r="BL707" s="684"/>
    </row>
    <row r="708" spans="37:64" x14ac:dyDescent="0.25">
      <c r="AN708" s="1"/>
      <c r="AR708" s="1"/>
      <c r="AS708" s="27" t="e">
        <f>AS707/AN707*100-100</f>
        <v>#REF!</v>
      </c>
    </row>
    <row r="709" spans="37:64" x14ac:dyDescent="0.25">
      <c r="AS709" s="1"/>
    </row>
    <row r="710" spans="37:64" ht="15.75" thickBot="1" x14ac:dyDescent="0.3"/>
    <row r="711" spans="37:64" ht="15.75" customHeight="1" thickBot="1" x14ac:dyDescent="0.3">
      <c r="AK711" s="1134" t="s">
        <v>599</v>
      </c>
      <c r="AL711" s="1130" t="s">
        <v>557</v>
      </c>
      <c r="AM711" s="1131"/>
      <c r="AN711" s="1131"/>
      <c r="AO711" s="1131"/>
      <c r="AP711" s="1132"/>
      <c r="AQ711" s="1130" t="s">
        <v>558</v>
      </c>
      <c r="AR711" s="1131"/>
      <c r="AS711" s="1131"/>
      <c r="AT711" s="1131"/>
      <c r="AU711" s="1132"/>
      <c r="AV711" s="1130" t="s">
        <v>559</v>
      </c>
      <c r="AW711" s="1131"/>
      <c r="AX711" s="1131"/>
      <c r="AY711" s="1131"/>
      <c r="AZ711" s="1131"/>
      <c r="BA711" s="1131"/>
      <c r="BB711" s="1132"/>
      <c r="BC711" s="694"/>
      <c r="BD711" s="694"/>
      <c r="BE711" s="694"/>
      <c r="BF711" s="694"/>
      <c r="BG711" s="694"/>
      <c r="BH711" s="1130" t="s">
        <v>52</v>
      </c>
      <c r="BI711" s="1131"/>
      <c r="BJ711" s="1131"/>
      <c r="BK711" s="1131"/>
      <c r="BL711" s="1132"/>
    </row>
    <row r="712" spans="37:64" ht="15.75" customHeight="1" thickBot="1" x14ac:dyDescent="0.3">
      <c r="AK712" s="1135"/>
      <c r="AL712" s="1133" t="s">
        <v>560</v>
      </c>
      <c r="AM712" s="1133"/>
      <c r="AN712" s="1133"/>
      <c r="AO712" s="1116" t="s">
        <v>561</v>
      </c>
      <c r="AP712" s="1116"/>
      <c r="AQ712" s="1133" t="s">
        <v>560</v>
      </c>
      <c r="AR712" s="1133"/>
      <c r="AS712" s="1133"/>
      <c r="AT712" s="1116" t="s">
        <v>561</v>
      </c>
      <c r="AU712" s="1116"/>
      <c r="AV712" s="1117" t="s">
        <v>560</v>
      </c>
      <c r="AW712" s="1118"/>
      <c r="AX712" s="1119"/>
      <c r="AY712" s="1116" t="s">
        <v>561</v>
      </c>
      <c r="AZ712" s="1116"/>
      <c r="BA712" s="1116"/>
      <c r="BB712" s="1116"/>
      <c r="BC712" s="718"/>
      <c r="BD712" s="718"/>
      <c r="BE712" s="718"/>
      <c r="BF712" s="718"/>
      <c r="BG712" s="718"/>
      <c r="BH712" s="1133" t="s">
        <v>560</v>
      </c>
      <c r="BI712" s="1133"/>
      <c r="BJ712" s="1133"/>
      <c r="BK712" s="1116" t="s">
        <v>561</v>
      </c>
      <c r="BL712" s="1116"/>
    </row>
    <row r="713" spans="37:64" ht="30.75" thickBot="1" x14ac:dyDescent="0.3">
      <c r="AK713" s="1136"/>
      <c r="AL713" s="672" t="s">
        <v>562</v>
      </c>
      <c r="AM713" s="672" t="s">
        <v>594</v>
      </c>
      <c r="AN713" s="672" t="s">
        <v>595</v>
      </c>
      <c r="AO713" s="672" t="s">
        <v>596</v>
      </c>
      <c r="AP713" s="672" t="s">
        <v>597</v>
      </c>
      <c r="AQ713" s="672" t="s">
        <v>562</v>
      </c>
      <c r="AR713" s="672" t="s">
        <v>594</v>
      </c>
      <c r="AS713" s="672" t="s">
        <v>595</v>
      </c>
      <c r="AT713" s="672" t="s">
        <v>596</v>
      </c>
      <c r="AU713" s="672" t="s">
        <v>597</v>
      </c>
      <c r="AV713" s="672" t="s">
        <v>562</v>
      </c>
      <c r="AW713" s="672" t="s">
        <v>594</v>
      </c>
      <c r="AX713" s="672" t="s">
        <v>595</v>
      </c>
      <c r="AY713" s="672" t="s">
        <v>598</v>
      </c>
      <c r="AZ713" s="672"/>
      <c r="BA713" s="672"/>
      <c r="BB713" s="672" t="s">
        <v>597</v>
      </c>
      <c r="BC713" s="672"/>
      <c r="BD713" s="672"/>
      <c r="BE713" s="672"/>
      <c r="BF713" s="672"/>
      <c r="BG713" s="672"/>
      <c r="BH713" s="672" t="s">
        <v>562</v>
      </c>
      <c r="BI713" s="672" t="s">
        <v>594</v>
      </c>
      <c r="BJ713" s="672" t="s">
        <v>595</v>
      </c>
      <c r="BK713" s="672" t="s">
        <v>598</v>
      </c>
      <c r="BL713" s="672" t="s">
        <v>597</v>
      </c>
    </row>
    <row r="714" spans="37:64" ht="15.75" thickBot="1" x14ac:dyDescent="0.3">
      <c r="AK714" s="675" t="s">
        <v>568</v>
      </c>
      <c r="AL714" s="697">
        <f>AM714+AN714</f>
        <v>4730</v>
      </c>
      <c r="AM714" s="677">
        <v>4709</v>
      </c>
      <c r="AN714" s="677">
        <f>'[15]2019. I. Állományi'!P32</f>
        <v>21</v>
      </c>
      <c r="AO714" s="220">
        <f>AM714/AL714*100</f>
        <v>99.556025369978869</v>
      </c>
      <c r="AP714" s="220">
        <f>AN714/AL714*100</f>
        <v>0.44397463002114163</v>
      </c>
      <c r="AQ714" s="697" t="e">
        <f>AR714+AS714</f>
        <v>#REF!</v>
      </c>
      <c r="AR714" s="677" t="e">
        <f>#REF!</f>
        <v>#REF!</v>
      </c>
      <c r="AS714" s="677" t="e">
        <f>#REF!</f>
        <v>#REF!</v>
      </c>
      <c r="AT714" s="220" t="e">
        <f>AR714/AQ714*100</f>
        <v>#REF!</v>
      </c>
      <c r="AU714" s="221" t="e">
        <f>AS714/AQ714*100</f>
        <v>#REF!</v>
      </c>
      <c r="AV714" s="697"/>
      <c r="AW714" s="677"/>
      <c r="AX714" s="677"/>
      <c r="AY714" s="220"/>
      <c r="AZ714" s="288"/>
      <c r="BA714" s="288"/>
      <c r="BB714" s="221"/>
      <c r="BC714" s="549"/>
      <c r="BD714" s="549"/>
      <c r="BE714" s="549"/>
      <c r="BF714" s="549"/>
      <c r="BG714" s="549"/>
      <c r="BH714" s="697"/>
      <c r="BI714" s="677"/>
      <c r="BJ714" s="677"/>
      <c r="BK714" s="220"/>
      <c r="BL714" s="221"/>
    </row>
    <row r="715" spans="37:64" ht="15.75" thickBot="1" x14ac:dyDescent="0.3">
      <c r="AK715" s="675" t="s">
        <v>572</v>
      </c>
      <c r="AL715" s="585">
        <f>AM715+AN715</f>
        <v>512945</v>
      </c>
      <c r="AM715" s="5">
        <v>296576</v>
      </c>
      <c r="AN715" s="5">
        <f>'[15]2019. I. Állományi'!P74</f>
        <v>216369</v>
      </c>
      <c r="AO715" s="223">
        <f>AM715/AL715*100</f>
        <v>57.818284611410576</v>
      </c>
      <c r="AP715" s="223">
        <f>AN715/AL715*100</f>
        <v>42.181715388589417</v>
      </c>
      <c r="AQ715" s="585" t="e">
        <f>AR715+AS715</f>
        <v>#REF!</v>
      </c>
      <c r="AR715" s="5" t="e">
        <f>#REF!</f>
        <v>#REF!</v>
      </c>
      <c r="AS715" s="5" t="e">
        <f>#REF!</f>
        <v>#REF!</v>
      </c>
      <c r="AT715" s="223" t="e">
        <f>AR715/AQ715*100</f>
        <v>#REF!</v>
      </c>
      <c r="AU715" s="414" t="e">
        <f>AS715/AQ715*100</f>
        <v>#REF!</v>
      </c>
      <c r="AV715" s="585"/>
      <c r="AW715" s="5"/>
      <c r="AX715" s="5"/>
      <c r="AY715" s="223"/>
      <c r="AZ715" s="478"/>
      <c r="BA715" s="478"/>
      <c r="BB715" s="414"/>
      <c r="BC715" s="450"/>
      <c r="BD715" s="450"/>
      <c r="BE715" s="450"/>
      <c r="BF715" s="450"/>
      <c r="BG715" s="450"/>
      <c r="BH715" s="585"/>
      <c r="BI715" s="5"/>
      <c r="BJ715" s="5"/>
      <c r="BK715" s="223"/>
      <c r="BL715" s="414"/>
    </row>
    <row r="716" spans="37:64" ht="15.75" thickBot="1" x14ac:dyDescent="0.3">
      <c r="AK716" s="654" t="s">
        <v>573</v>
      </c>
      <c r="AL716" s="700">
        <f>AL714+AL715</f>
        <v>517675</v>
      </c>
      <c r="AM716" s="388">
        <f>AM714+AM715</f>
        <v>301285</v>
      </c>
      <c r="AN716" s="388">
        <f>AN714+AN715</f>
        <v>216390</v>
      </c>
      <c r="AO716" s="684">
        <f>AM716/AL716*100</f>
        <v>58.199642632926064</v>
      </c>
      <c r="AP716" s="684">
        <f>AN716/AL716*100</f>
        <v>41.800357367073936</v>
      </c>
      <c r="AQ716" s="700" t="e">
        <f>AR716+AS716</f>
        <v>#REF!</v>
      </c>
      <c r="AR716" s="388" t="e">
        <f>AR714+AR715</f>
        <v>#REF!</v>
      </c>
      <c r="AS716" s="388" t="e">
        <f>AS714+AS715</f>
        <v>#REF!</v>
      </c>
      <c r="AT716" s="684" t="e">
        <f>AR716/AQ716*100</f>
        <v>#REF!</v>
      </c>
      <c r="AU716" s="681" t="e">
        <f>AS716/AQ716*100</f>
        <v>#REF!</v>
      </c>
      <c r="AV716" s="700"/>
      <c r="AW716" s="388"/>
      <c r="AX716" s="388"/>
      <c r="AY716" s="684"/>
      <c r="AZ716" s="688"/>
      <c r="BA716" s="688"/>
      <c r="BB716" s="681"/>
      <c r="BC716" s="685"/>
      <c r="BD716" s="685"/>
      <c r="BE716" s="685"/>
      <c r="BF716" s="685"/>
      <c r="BG716" s="685"/>
      <c r="BH716" s="700"/>
      <c r="BI716" s="388"/>
      <c r="BJ716" s="388"/>
      <c r="BK716" s="684"/>
      <c r="BL716" s="681"/>
    </row>
    <row r="717" spans="37:64" x14ac:dyDescent="0.25">
      <c r="AN717" s="1"/>
      <c r="AS717" s="1"/>
    </row>
    <row r="723" spans="37:69" ht="15.75" thickBot="1" x14ac:dyDescent="0.3"/>
    <row r="724" spans="37:69" ht="15.75" customHeight="1" thickBot="1" x14ac:dyDescent="0.3">
      <c r="AK724" s="1126" t="s">
        <v>600</v>
      </c>
      <c r="AL724" s="1130" t="s">
        <v>576</v>
      </c>
      <c r="AM724" s="1131"/>
      <c r="AN724" s="1131"/>
      <c r="AO724" s="1131"/>
      <c r="AP724" s="1132"/>
      <c r="AQ724" s="1130" t="s">
        <v>577</v>
      </c>
      <c r="AR724" s="1131"/>
      <c r="AS724" s="1131"/>
      <c r="AT724" s="1131"/>
      <c r="AU724" s="1132"/>
      <c r="AV724" s="1130" t="s">
        <v>578</v>
      </c>
      <c r="AW724" s="1131"/>
      <c r="AX724" s="1131"/>
      <c r="AY724" s="1131"/>
      <c r="AZ724" s="1131"/>
      <c r="BA724" s="1131"/>
      <c r="BB724" s="1132"/>
      <c r="BC724" s="694"/>
      <c r="BD724" s="694"/>
      <c r="BE724" s="694"/>
      <c r="BF724" s="694"/>
      <c r="BG724" s="694"/>
      <c r="BH724" s="1130" t="s">
        <v>579</v>
      </c>
      <c r="BI724" s="1131"/>
      <c r="BJ724" s="1131"/>
      <c r="BK724" s="1131"/>
      <c r="BL724" s="1132"/>
      <c r="BM724" s="719" t="s">
        <v>164</v>
      </c>
    </row>
    <row r="725" spans="37:69" ht="30.75" customHeight="1" thickBot="1" x14ac:dyDescent="0.3">
      <c r="AK725" s="1141"/>
      <c r="AL725" s="1117" t="s">
        <v>560</v>
      </c>
      <c r="AM725" s="1118"/>
      <c r="AN725" s="1119"/>
      <c r="AO725" s="1120" t="s">
        <v>561</v>
      </c>
      <c r="AP725" s="1121"/>
      <c r="AQ725" s="1117" t="s">
        <v>560</v>
      </c>
      <c r="AR725" s="1118"/>
      <c r="AS725" s="1119"/>
      <c r="AT725" s="1120" t="s">
        <v>561</v>
      </c>
      <c r="AU725" s="1121"/>
      <c r="AV725" s="1117" t="s">
        <v>560</v>
      </c>
      <c r="AW725" s="1118"/>
      <c r="AX725" s="1119"/>
      <c r="AY725" s="1120" t="s">
        <v>561</v>
      </c>
      <c r="AZ725" s="1137"/>
      <c r="BA725" s="1137"/>
      <c r="BB725" s="1121"/>
      <c r="BC725" s="695"/>
      <c r="BD725" s="695"/>
      <c r="BE725" s="695"/>
      <c r="BF725" s="695"/>
      <c r="BG725" s="695"/>
      <c r="BH725" s="1117" t="s">
        <v>560</v>
      </c>
      <c r="BI725" s="1118"/>
      <c r="BJ725" s="1119"/>
      <c r="BK725" s="1120" t="s">
        <v>561</v>
      </c>
      <c r="BL725" s="1121"/>
    </row>
    <row r="726" spans="37:69" ht="45.75" customHeight="1" thickBot="1" x14ac:dyDescent="0.3">
      <c r="AK726" s="1142"/>
      <c r="AL726" s="672" t="s">
        <v>562</v>
      </c>
      <c r="AM726" s="672" t="s">
        <v>594</v>
      </c>
      <c r="AN726" s="672" t="s">
        <v>595</v>
      </c>
      <c r="AO726" s="672" t="s">
        <v>596</v>
      </c>
      <c r="AP726" s="672" t="s">
        <v>597</v>
      </c>
      <c r="AQ726" s="672" t="s">
        <v>562</v>
      </c>
      <c r="AR726" s="672" t="s">
        <v>594</v>
      </c>
      <c r="AS726" s="672" t="s">
        <v>595</v>
      </c>
      <c r="AT726" s="672" t="s">
        <v>596</v>
      </c>
      <c r="AU726" s="672" t="s">
        <v>597</v>
      </c>
      <c r="AV726" s="672" t="s">
        <v>562</v>
      </c>
      <c r="AW726" s="672" t="s">
        <v>594</v>
      </c>
      <c r="AX726" s="672" t="s">
        <v>595</v>
      </c>
      <c r="AY726" s="672" t="s">
        <v>596</v>
      </c>
      <c r="AZ726" s="672"/>
      <c r="BA726" s="672"/>
      <c r="BB726" s="672" t="s">
        <v>597</v>
      </c>
      <c r="BC726" s="672"/>
      <c r="BD726" s="672"/>
      <c r="BE726" s="672"/>
      <c r="BF726" s="672"/>
      <c r="BG726" s="672"/>
      <c r="BH726" s="672" t="s">
        <v>562</v>
      </c>
      <c r="BI726" s="672" t="s">
        <v>594</v>
      </c>
      <c r="BJ726" s="672" t="s">
        <v>595</v>
      </c>
      <c r="BK726" s="672" t="s">
        <v>598</v>
      </c>
      <c r="BL726" s="672" t="s">
        <v>597</v>
      </c>
      <c r="BM726" s="32"/>
      <c r="BN726" s="720" t="s">
        <v>539</v>
      </c>
      <c r="BO726" s="720" t="s">
        <v>185</v>
      </c>
      <c r="BP726" s="721" t="s">
        <v>601</v>
      </c>
      <c r="BQ726" s="721" t="s">
        <v>602</v>
      </c>
    </row>
    <row r="727" spans="37:69" ht="15.75" thickBot="1" x14ac:dyDescent="0.3">
      <c r="AK727" s="675" t="s">
        <v>568</v>
      </c>
      <c r="AL727" s="697">
        <v>296198</v>
      </c>
      <c r="AM727" s="677">
        <v>290612</v>
      </c>
      <c r="AN727" s="678">
        <v>5586</v>
      </c>
      <c r="AO727" s="245">
        <f>AM727/AL727*100</f>
        <v>98.114099352460187</v>
      </c>
      <c r="AP727" s="221">
        <f>AN727/AL727*100</f>
        <v>1.8859006475398215</v>
      </c>
      <c r="AQ727" s="697">
        <v>306407.48</v>
      </c>
      <c r="AR727" s="677">
        <v>301821.48</v>
      </c>
      <c r="AS727" s="677">
        <v>4586</v>
      </c>
      <c r="AT727" s="220">
        <f>AR727/AQ727*100</f>
        <v>98.503300245803388</v>
      </c>
      <c r="AU727" s="221">
        <f>AS727/AQ727*100</f>
        <v>1.4966997541966014</v>
      </c>
      <c r="AV727" s="697">
        <v>312436.21000000002</v>
      </c>
      <c r="AW727" s="677">
        <v>306100.21000000002</v>
      </c>
      <c r="AX727" s="677">
        <v>6336</v>
      </c>
      <c r="AY727" s="220">
        <f>AW727/AV727*100</f>
        <v>97.972066041896994</v>
      </c>
      <c r="AZ727" s="220"/>
      <c r="BA727" s="220"/>
      <c r="BB727" s="220">
        <f>AX727/AV727*100</f>
        <v>2.0279339581029996</v>
      </c>
      <c r="BC727" s="287"/>
      <c r="BD727" s="287"/>
      <c r="BE727" s="287"/>
      <c r="BF727" s="287"/>
      <c r="BG727" s="287"/>
      <c r="BH727" s="697">
        <v>309406.14</v>
      </c>
      <c r="BI727" s="677">
        <v>302584.14</v>
      </c>
      <c r="BJ727" s="677">
        <v>6822</v>
      </c>
      <c r="BK727" s="220">
        <f>BI727/BH727*100</f>
        <v>97.795131020993963</v>
      </c>
      <c r="BL727" s="220">
        <f>BJ727/BH727*100</f>
        <v>2.2048689790060401</v>
      </c>
      <c r="BM727" s="32"/>
    </row>
    <row r="728" spans="37:69" ht="15.75" thickBot="1" x14ac:dyDescent="0.3">
      <c r="AK728" s="675" t="s">
        <v>569</v>
      </c>
      <c r="AL728" s="585">
        <v>284170</v>
      </c>
      <c r="AM728" s="5">
        <v>242986.986</v>
      </c>
      <c r="AN728" s="28">
        <v>41183</v>
      </c>
      <c r="AO728" s="248">
        <f>AM728/AL728*100</f>
        <v>85.507613752331352</v>
      </c>
      <c r="AP728" s="414">
        <f>AN728/AL728*100</f>
        <v>14.492381321040224</v>
      </c>
      <c r="AQ728" s="585">
        <v>295527.97700000001</v>
      </c>
      <c r="AR728" s="5">
        <v>251787.01299999998</v>
      </c>
      <c r="AS728" s="5">
        <v>43740.964</v>
      </c>
      <c r="AT728" s="223">
        <f>AR728/AQ728*100</f>
        <v>85.199044623785298</v>
      </c>
      <c r="AU728" s="223">
        <f>AS728/AQ728*100</f>
        <v>14.800955376214686</v>
      </c>
      <c r="AV728" s="585">
        <v>312890.69</v>
      </c>
      <c r="AW728" s="5">
        <v>268308.75</v>
      </c>
      <c r="AX728" s="5">
        <v>44581.94</v>
      </c>
      <c r="AY728" s="223">
        <f>AW728/AV728*100</f>
        <v>85.751592672827698</v>
      </c>
      <c r="AZ728" s="223"/>
      <c r="BA728" s="223"/>
      <c r="BB728" s="223">
        <f>AX728/AV728*100</f>
        <v>14.248407327172311</v>
      </c>
      <c r="BC728" s="449"/>
      <c r="BD728" s="449"/>
      <c r="BE728" s="449"/>
      <c r="BF728" s="449"/>
      <c r="BG728" s="449"/>
      <c r="BH728" s="585">
        <v>313564.69</v>
      </c>
      <c r="BI728" s="5">
        <v>267817.74</v>
      </c>
      <c r="BJ728" s="5">
        <v>45746.95</v>
      </c>
      <c r="BK728" s="223">
        <f>BI728/BH728*100</f>
        <v>85.410681923401512</v>
      </c>
      <c r="BL728" s="223">
        <f>BJ728/BH728*100</f>
        <v>14.589318076598484</v>
      </c>
      <c r="BM728" s="32"/>
    </row>
    <row r="729" spans="37:69" ht="15.75" thickBot="1" x14ac:dyDescent="0.3">
      <c r="AK729" s="654" t="s">
        <v>570</v>
      </c>
      <c r="AL729" s="700">
        <f>AL727+AL728</f>
        <v>580368</v>
      </c>
      <c r="AM729" s="388">
        <f>AM727+AM728</f>
        <v>533598.98600000003</v>
      </c>
      <c r="AN729" s="389">
        <f>AN727+AN728</f>
        <v>46769</v>
      </c>
      <c r="AO729" s="680">
        <f>AM729/AL729*100</f>
        <v>91.941489882281587</v>
      </c>
      <c r="AP729" s="681">
        <f>AN729/AL729*100</f>
        <v>8.0585077054558489</v>
      </c>
      <c r="AQ729" s="700">
        <v>601935.45699999994</v>
      </c>
      <c r="AR729" s="388">
        <f>AR727+AR728</f>
        <v>553608.49300000002</v>
      </c>
      <c r="AS729" s="388">
        <f>AS727+AS728</f>
        <v>48326.964</v>
      </c>
      <c r="AT729" s="684">
        <f>AR729/AQ729*100</f>
        <v>91.971404336129694</v>
      </c>
      <c r="AU729" s="684">
        <f>AS729/AQ729*100</f>
        <v>8.0285956638703215</v>
      </c>
      <c r="AV729" s="700">
        <v>625326.9</v>
      </c>
      <c r="AW729" s="388">
        <f>AW727+AW728</f>
        <v>574408.95999999996</v>
      </c>
      <c r="AX729" s="388">
        <f>AX727+AX728</f>
        <v>50917.94</v>
      </c>
      <c r="AY729" s="684">
        <f>AW729/AV729*100</f>
        <v>91.857388511512923</v>
      </c>
      <c r="AZ729" s="688"/>
      <c r="BA729" s="688"/>
      <c r="BB729" s="681">
        <f>AX729/AV729*100</f>
        <v>8.1426114884870611</v>
      </c>
      <c r="BC729" s="685"/>
      <c r="BD729" s="685"/>
      <c r="BE729" s="685"/>
      <c r="BF729" s="685"/>
      <c r="BG729" s="685"/>
      <c r="BH729" s="700">
        <v>622970.83000000007</v>
      </c>
      <c r="BI729" s="388">
        <f>BI727+BI728</f>
        <v>570401.88</v>
      </c>
      <c r="BJ729" s="388">
        <f>BJ727+BJ728</f>
        <v>52568.95</v>
      </c>
      <c r="BK729" s="684">
        <f>BI729/BH729*100</f>
        <v>91.561571189456799</v>
      </c>
      <c r="BL729" s="684">
        <f>BJ729/BH729*100</f>
        <v>8.4384288105431811</v>
      </c>
      <c r="BN729">
        <f>BJ729/BJ765*100-100</f>
        <v>39.585821121856412</v>
      </c>
      <c r="BO729">
        <f>BI729/BI765*100-100</f>
        <v>8.5261334719423729</v>
      </c>
      <c r="BP729" s="32">
        <f>BK729-BK765</f>
        <v>-1.7521154411446531</v>
      </c>
      <c r="BQ729" s="32">
        <f>BL729-BL765</f>
        <v>1.7521154411446673</v>
      </c>
    </row>
    <row r="730" spans="37:69" x14ac:dyDescent="0.25">
      <c r="AN730" s="1"/>
      <c r="AS730" s="1"/>
      <c r="AX730" s="1"/>
      <c r="BB730" s="32"/>
      <c r="BC730" s="32"/>
      <c r="BD730" s="32"/>
      <c r="BE730" s="32"/>
      <c r="BF730" s="32"/>
      <c r="BG730" s="32"/>
      <c r="BJ730" s="1"/>
      <c r="BL730" s="32"/>
    </row>
    <row r="731" spans="37:69" x14ac:dyDescent="0.25">
      <c r="AM731" s="1"/>
      <c r="AN731" s="1"/>
      <c r="AP731" s="32"/>
      <c r="BB731" s="32"/>
      <c r="BC731" s="32"/>
      <c r="BD731" s="32"/>
      <c r="BE731" s="32"/>
      <c r="BF731" s="32"/>
      <c r="BG731" s="32"/>
      <c r="BL731" s="32"/>
    </row>
    <row r="732" spans="37:69" ht="15.75" thickBot="1" x14ac:dyDescent="0.3"/>
    <row r="733" spans="37:69" ht="15.75" thickBot="1" x14ac:dyDescent="0.3">
      <c r="AK733" s="1134" t="s">
        <v>603</v>
      </c>
      <c r="AL733" s="1129" t="s">
        <v>576</v>
      </c>
      <c r="AM733" s="1129"/>
      <c r="AN733" s="1129"/>
      <c r="AO733" s="1129"/>
      <c r="AP733" s="1129"/>
      <c r="AQ733" s="1129" t="s">
        <v>577</v>
      </c>
      <c r="AR733" s="1129"/>
      <c r="AS733" s="1129"/>
      <c r="AT733" s="1129"/>
      <c r="AU733" s="1129"/>
      <c r="AV733" s="1130" t="s">
        <v>578</v>
      </c>
      <c r="AW733" s="1131"/>
      <c r="AX733" s="1131"/>
      <c r="AY733" s="1131"/>
      <c r="AZ733" s="1131"/>
      <c r="BA733" s="1131"/>
      <c r="BB733" s="1132"/>
      <c r="BC733" s="722"/>
      <c r="BD733" s="722"/>
      <c r="BE733" s="722"/>
      <c r="BF733" s="722"/>
      <c r="BG733" s="722"/>
      <c r="BH733" s="1129" t="s">
        <v>579</v>
      </c>
      <c r="BI733" s="1129"/>
      <c r="BJ733" s="1129"/>
      <c r="BK733" s="1129"/>
      <c r="BL733" s="1129"/>
      <c r="BM733" s="723" t="s">
        <v>80</v>
      </c>
    </row>
    <row r="734" spans="37:69" ht="15.75" thickBot="1" x14ac:dyDescent="0.3">
      <c r="AK734" s="1135"/>
      <c r="AL734" s="1133" t="s">
        <v>560</v>
      </c>
      <c r="AM734" s="1133"/>
      <c r="AN734" s="1133"/>
      <c r="AO734" s="1116" t="s">
        <v>561</v>
      </c>
      <c r="AP734" s="1116"/>
      <c r="AQ734" s="1133" t="s">
        <v>560</v>
      </c>
      <c r="AR734" s="1133"/>
      <c r="AS734" s="1133"/>
      <c r="AT734" s="1116" t="s">
        <v>561</v>
      </c>
      <c r="AU734" s="1116"/>
      <c r="AV734" s="1117" t="s">
        <v>560</v>
      </c>
      <c r="AW734" s="1118"/>
      <c r="AX734" s="1119"/>
      <c r="AY734" s="1116" t="s">
        <v>561</v>
      </c>
      <c r="AZ734" s="1116"/>
      <c r="BA734" s="1116"/>
      <c r="BB734" s="1116"/>
      <c r="BC734" s="718"/>
      <c r="BD734" s="718"/>
      <c r="BE734" s="718"/>
      <c r="BF734" s="718"/>
      <c r="BG734" s="718"/>
      <c r="BH734" s="1133" t="s">
        <v>560</v>
      </c>
      <c r="BI734" s="1133"/>
      <c r="BJ734" s="1133"/>
      <c r="BK734" s="1116" t="s">
        <v>561</v>
      </c>
      <c r="BL734" s="1116"/>
    </row>
    <row r="735" spans="37:69" ht="30.75" thickBot="1" x14ac:dyDescent="0.3">
      <c r="AK735" s="1136"/>
      <c r="AL735" s="672" t="s">
        <v>562</v>
      </c>
      <c r="AM735" s="672" t="s">
        <v>594</v>
      </c>
      <c r="AN735" s="672" t="s">
        <v>595</v>
      </c>
      <c r="AO735" s="672" t="s">
        <v>596</v>
      </c>
      <c r="AP735" s="672" t="s">
        <v>597</v>
      </c>
      <c r="AQ735" s="672" t="s">
        <v>562</v>
      </c>
      <c r="AR735" s="672" t="s">
        <v>594</v>
      </c>
      <c r="AS735" s="672" t="s">
        <v>595</v>
      </c>
      <c r="AT735" s="672" t="s">
        <v>596</v>
      </c>
      <c r="AU735" s="672" t="s">
        <v>597</v>
      </c>
      <c r="AV735" s="672" t="s">
        <v>562</v>
      </c>
      <c r="AW735" s="672" t="s">
        <v>594</v>
      </c>
      <c r="AX735" s="672" t="s">
        <v>595</v>
      </c>
      <c r="AY735" s="672" t="s">
        <v>598</v>
      </c>
      <c r="AZ735" s="672"/>
      <c r="BA735" s="672"/>
      <c r="BB735" s="672" t="s">
        <v>597</v>
      </c>
      <c r="BC735" s="672"/>
      <c r="BD735" s="672"/>
      <c r="BE735" s="672"/>
      <c r="BF735" s="672"/>
      <c r="BG735" s="672"/>
      <c r="BH735" s="672" t="s">
        <v>562</v>
      </c>
      <c r="BI735" s="672" t="s">
        <v>594</v>
      </c>
      <c r="BJ735" s="672" t="s">
        <v>595</v>
      </c>
      <c r="BK735" s="672" t="s">
        <v>598</v>
      </c>
      <c r="BL735" s="672" t="s">
        <v>597</v>
      </c>
      <c r="BN735" s="32"/>
    </row>
    <row r="736" spans="37:69" ht="15.75" thickBot="1" x14ac:dyDescent="0.3">
      <c r="AK736" s="675" t="s">
        <v>568</v>
      </c>
      <c r="AL736" s="697">
        <v>8278</v>
      </c>
      <c r="AM736" s="677">
        <v>7024</v>
      </c>
      <c r="AN736" s="677">
        <v>1254</v>
      </c>
      <c r="AO736" s="220">
        <f>AM736/AL736*100</f>
        <v>84.851413384875571</v>
      </c>
      <c r="AP736" s="220">
        <f>AN736/AL736*100</f>
        <v>15.148586615124426</v>
      </c>
      <c r="AQ736" s="697">
        <v>3788</v>
      </c>
      <c r="AR736" s="677">
        <v>3766</v>
      </c>
      <c r="AS736" s="677">
        <v>22</v>
      </c>
      <c r="AT736" s="220">
        <f>AR736/AQ736*100</f>
        <v>99.419218585005282</v>
      </c>
      <c r="AU736" s="221">
        <f>AS736/AQ736*100</f>
        <v>0.58078141499472014</v>
      </c>
      <c r="AV736" s="697">
        <v>3823</v>
      </c>
      <c r="AW736" s="677">
        <v>3800.77</v>
      </c>
      <c r="AX736" s="677">
        <v>22</v>
      </c>
      <c r="AY736" s="220">
        <f>AW736/AV736*100</f>
        <v>99.418519487313631</v>
      </c>
      <c r="AZ736" s="288"/>
      <c r="BA736" s="288"/>
      <c r="BB736" s="221">
        <f>AX736/AV736*100</f>
        <v>0.57546429505623853</v>
      </c>
      <c r="BC736" s="549"/>
      <c r="BD736" s="549"/>
      <c r="BE736" s="549"/>
      <c r="BF736" s="549"/>
      <c r="BG736" s="549"/>
      <c r="BH736" s="697">
        <v>7428.62</v>
      </c>
      <c r="BI736" s="677">
        <v>7383.62</v>
      </c>
      <c r="BJ736" s="677">
        <v>45</v>
      </c>
      <c r="BK736" s="220">
        <f>BI736/BH736*100</f>
        <v>99.394234730003689</v>
      </c>
      <c r="BL736" s="221">
        <f>BJ736/BH736*100</f>
        <v>0.60576526999631153</v>
      </c>
      <c r="BN736" s="32"/>
    </row>
    <row r="737" spans="37:69" ht="15.75" thickBot="1" x14ac:dyDescent="0.3">
      <c r="AK737" s="675" t="s">
        <v>572</v>
      </c>
      <c r="AL737" s="585">
        <v>442113.53</v>
      </c>
      <c r="AM737" s="5">
        <v>250712.53</v>
      </c>
      <c r="AN737" s="5">
        <v>191401</v>
      </c>
      <c r="AO737" s="223">
        <f>AM737/AL737*100</f>
        <v>56.707726180648663</v>
      </c>
      <c r="AP737" s="223">
        <f>AN737/AL737*100</f>
        <v>43.29227381935133</v>
      </c>
      <c r="AQ737" s="585">
        <v>458303</v>
      </c>
      <c r="AR737" s="5">
        <v>252120.45600000001</v>
      </c>
      <c r="AS737" s="5">
        <v>206182.70400000003</v>
      </c>
      <c r="AT737" s="223">
        <f>AR737/AQ737*100</f>
        <v>55.011740267901367</v>
      </c>
      <c r="AU737" s="414">
        <f>AS737/AQ737*100</f>
        <v>44.988294643500048</v>
      </c>
      <c r="AV737" s="585">
        <v>489432</v>
      </c>
      <c r="AW737" s="5">
        <v>278824.62</v>
      </c>
      <c r="AX737" s="5">
        <v>210607.78</v>
      </c>
      <c r="AY737" s="223">
        <f>AW737/AV737*100</f>
        <v>56.969021232775951</v>
      </c>
      <c r="AZ737" s="478"/>
      <c r="BA737" s="478"/>
      <c r="BB737" s="414">
        <f>AX737/AV737*100</f>
        <v>43.031060494614167</v>
      </c>
      <c r="BC737" s="450"/>
      <c r="BD737" s="450"/>
      <c r="BE737" s="450"/>
      <c r="BF737" s="450"/>
      <c r="BG737" s="450"/>
      <c r="BH737" s="585">
        <v>494550.02</v>
      </c>
      <c r="BI737" s="5">
        <v>290485.84999999998</v>
      </c>
      <c r="BJ737" s="5">
        <v>204064.17</v>
      </c>
      <c r="BK737" s="223">
        <f>BI737/BH737*100</f>
        <v>58.737405369026163</v>
      </c>
      <c r="BL737" s="414">
        <f>BJ737/BH737*100</f>
        <v>41.26259463097383</v>
      </c>
      <c r="BN737" s="32"/>
    </row>
    <row r="738" spans="37:69" ht="15.75" thickBot="1" x14ac:dyDescent="0.3">
      <c r="AK738" s="654" t="s">
        <v>573</v>
      </c>
      <c r="AL738" s="700">
        <v>450391.53</v>
      </c>
      <c r="AM738" s="388">
        <f>AM736+AM737</f>
        <v>257736.53</v>
      </c>
      <c r="AN738" s="388">
        <f>AN736+AN737</f>
        <v>192655</v>
      </c>
      <c r="AO738" s="684">
        <f>AM738/AL738*100</f>
        <v>57.224994883895796</v>
      </c>
      <c r="AP738" s="684">
        <f>AN738/AL738*100</f>
        <v>42.775005116104204</v>
      </c>
      <c r="AQ738" s="700">
        <v>462091</v>
      </c>
      <c r="AR738" s="388">
        <f>AR736+AR737</f>
        <v>255886.45600000001</v>
      </c>
      <c r="AS738" s="388">
        <f>AS736+AS737</f>
        <v>206204.70400000003</v>
      </c>
      <c r="AT738" s="684">
        <f>AR738/AQ738*100</f>
        <v>55.375771438958999</v>
      </c>
      <c r="AU738" s="681">
        <f>AS738/AQ738*100</f>
        <v>44.624263186255526</v>
      </c>
      <c r="AV738" s="700">
        <v>493255</v>
      </c>
      <c r="AW738" s="388">
        <f>AW736+AW737</f>
        <v>282625.39</v>
      </c>
      <c r="AX738" s="388">
        <f>AX736+AX737</f>
        <v>210629.78</v>
      </c>
      <c r="AY738" s="684">
        <f>AW738/AV738*100</f>
        <v>57.298028403158611</v>
      </c>
      <c r="AZ738" s="688"/>
      <c r="BA738" s="688"/>
      <c r="BB738" s="681">
        <f>AX738/AV738*100</f>
        <v>42.702006061773325</v>
      </c>
      <c r="BC738" s="685"/>
      <c r="BD738" s="685"/>
      <c r="BE738" s="685"/>
      <c r="BF738" s="685"/>
      <c r="BG738" s="685"/>
      <c r="BH738" s="700">
        <v>501978.64</v>
      </c>
      <c r="BI738" s="388">
        <f>BI736+BI737</f>
        <v>297869.46999999997</v>
      </c>
      <c r="BJ738" s="388">
        <f>BJ736+BJ737</f>
        <v>204109.17</v>
      </c>
      <c r="BK738" s="684">
        <f>BI738/BH738*100</f>
        <v>59.339072674486701</v>
      </c>
      <c r="BL738" s="681">
        <f>BJ738/BH738*100</f>
        <v>40.660927325513299</v>
      </c>
      <c r="BN738">
        <f>BJ738/BJ774*100-100</f>
        <v>32.365239761242549</v>
      </c>
      <c r="BO738">
        <f>BI738/BI774*100-100</f>
        <v>11.119295396712744</v>
      </c>
      <c r="BP738" s="32">
        <f>BK738-BK774</f>
        <v>-4.1431585269717033</v>
      </c>
      <c r="BQ738" s="32">
        <f>BL738-BL774</f>
        <v>4.1431585269717033</v>
      </c>
    </row>
    <row r="739" spans="37:69" x14ac:dyDescent="0.25">
      <c r="AM739" s="1"/>
      <c r="AP739" s="32"/>
      <c r="AS739" s="1"/>
      <c r="AX739" s="1"/>
      <c r="BI739" s="27">
        <f>BI738/BI756*100-100</f>
        <v>10.841319350744797</v>
      </c>
      <c r="BJ739" s="27">
        <f>BJ738/BJ756*100-100</f>
        <v>6.7347725937859622</v>
      </c>
      <c r="BK739" s="32">
        <f>BK738-BK756</f>
        <v>0.91400246074821467</v>
      </c>
    </row>
    <row r="740" spans="37:69" x14ac:dyDescent="0.25">
      <c r="AP740" s="32"/>
    </row>
    <row r="741" spans="37:69" ht="15.75" thickBot="1" x14ac:dyDescent="0.3">
      <c r="AP741" s="32"/>
    </row>
    <row r="742" spans="37:69" ht="15.75" customHeight="1" thickBot="1" x14ac:dyDescent="0.3">
      <c r="AK742" s="1126" t="s">
        <v>604</v>
      </c>
      <c r="AL742" s="1129" t="s">
        <v>582</v>
      </c>
      <c r="AM742" s="1129"/>
      <c r="AN742" s="1129"/>
      <c r="AO742" s="1129"/>
      <c r="AP742" s="1129"/>
      <c r="AQ742" s="1129" t="s">
        <v>583</v>
      </c>
      <c r="AR742" s="1129"/>
      <c r="AS742" s="1129"/>
      <c r="AT742" s="1129"/>
      <c r="AU742" s="1129"/>
      <c r="AV742" s="1130" t="s">
        <v>584</v>
      </c>
      <c r="AW742" s="1131"/>
      <c r="AX742" s="1131"/>
      <c r="AY742" s="1131"/>
      <c r="AZ742" s="1131"/>
      <c r="BA742" s="1131"/>
      <c r="BB742" s="1132"/>
      <c r="BC742" s="722"/>
      <c r="BD742" s="722"/>
      <c r="BE742" s="722"/>
      <c r="BF742" s="722"/>
      <c r="BG742" s="722"/>
      <c r="BH742" s="1129" t="s">
        <v>585</v>
      </c>
      <c r="BI742" s="1129"/>
      <c r="BJ742" s="1129"/>
      <c r="BK742" s="1129"/>
      <c r="BL742" s="1129"/>
      <c r="BM742" s="719" t="s">
        <v>164</v>
      </c>
    </row>
    <row r="743" spans="37:69" ht="15.75" thickBot="1" x14ac:dyDescent="0.3">
      <c r="AK743" s="1127"/>
      <c r="AL743" s="1133" t="s">
        <v>560</v>
      </c>
      <c r="AM743" s="1133"/>
      <c r="AN743" s="1133"/>
      <c r="AO743" s="1116" t="s">
        <v>561</v>
      </c>
      <c r="AP743" s="1116"/>
      <c r="AQ743" s="1133" t="s">
        <v>560</v>
      </c>
      <c r="AR743" s="1133"/>
      <c r="AS743" s="1133"/>
      <c r="AT743" s="1116" t="s">
        <v>561</v>
      </c>
      <c r="AU743" s="1116"/>
      <c r="AV743" s="1117" t="s">
        <v>560</v>
      </c>
      <c r="AW743" s="1118"/>
      <c r="AX743" s="1119"/>
      <c r="AY743" s="1116" t="s">
        <v>561</v>
      </c>
      <c r="AZ743" s="1116"/>
      <c r="BA743" s="1116"/>
      <c r="BB743" s="1116"/>
      <c r="BC743" s="718"/>
      <c r="BD743" s="718"/>
      <c r="BE743" s="718"/>
      <c r="BF743" s="718"/>
      <c r="BG743" s="718"/>
      <c r="BH743" s="1133" t="s">
        <v>560</v>
      </c>
      <c r="BI743" s="1133"/>
      <c r="BJ743" s="1133"/>
      <c r="BK743" s="1116" t="s">
        <v>561</v>
      </c>
      <c r="BL743" s="1116"/>
    </row>
    <row r="744" spans="37:69" ht="30.75" thickBot="1" x14ac:dyDescent="0.3">
      <c r="AK744" s="1128"/>
      <c r="AL744" s="672" t="s">
        <v>562</v>
      </c>
      <c r="AM744" s="672" t="s">
        <v>594</v>
      </c>
      <c r="AN744" s="672" t="s">
        <v>595</v>
      </c>
      <c r="AO744" s="672" t="s">
        <v>596</v>
      </c>
      <c r="AP744" s="672" t="s">
        <v>597</v>
      </c>
      <c r="AQ744" s="672" t="s">
        <v>562</v>
      </c>
      <c r="AR744" s="672" t="s">
        <v>594</v>
      </c>
      <c r="AS744" s="672" t="s">
        <v>595</v>
      </c>
      <c r="AT744" s="672" t="s">
        <v>596</v>
      </c>
      <c r="AU744" s="672" t="s">
        <v>597</v>
      </c>
      <c r="AV744" s="672" t="s">
        <v>562</v>
      </c>
      <c r="AW744" s="672" t="s">
        <v>594</v>
      </c>
      <c r="AX744" s="672" t="s">
        <v>595</v>
      </c>
      <c r="AY744" s="672" t="s">
        <v>598</v>
      </c>
      <c r="AZ744" s="672"/>
      <c r="BA744" s="672"/>
      <c r="BB744" s="672" t="s">
        <v>597</v>
      </c>
      <c r="BC744" s="672"/>
      <c r="BD744" s="672"/>
      <c r="BE744" s="672"/>
      <c r="BF744" s="672"/>
      <c r="BG744" s="672"/>
      <c r="BH744" s="672" t="s">
        <v>562</v>
      </c>
      <c r="BI744" s="672" t="s">
        <v>594</v>
      </c>
      <c r="BJ744" s="672" t="s">
        <v>595</v>
      </c>
      <c r="BK744" s="672" t="s">
        <v>598</v>
      </c>
      <c r="BL744" s="672" t="s">
        <v>597</v>
      </c>
    </row>
    <row r="745" spans="37:69" ht="15.75" thickBot="1" x14ac:dyDescent="0.3">
      <c r="AK745" s="675" t="s">
        <v>568</v>
      </c>
      <c r="AL745" s="724"/>
      <c r="AM745" s="702"/>
      <c r="AN745" s="702"/>
      <c r="AO745" s="702"/>
      <c r="AP745" s="703"/>
      <c r="AQ745" s="724"/>
      <c r="AR745" s="702"/>
      <c r="AS745" s="702"/>
      <c r="AT745" s="702"/>
      <c r="AU745" s="703"/>
      <c r="AV745" s="724"/>
      <c r="AW745" s="702"/>
      <c r="AX745" s="702"/>
      <c r="AY745" s="702"/>
      <c r="AZ745" s="711"/>
      <c r="BA745" s="711"/>
      <c r="BB745" s="703"/>
      <c r="BC745" s="712"/>
      <c r="BD745" s="712"/>
      <c r="BE745" s="712"/>
      <c r="BF745" s="712"/>
      <c r="BG745" s="712"/>
      <c r="BH745" s="697">
        <f>BI745+BJ745</f>
        <v>305031.31737159</v>
      </c>
      <c r="BI745" s="697">
        <v>298326.83386200003</v>
      </c>
      <c r="BJ745" s="677">
        <v>6704.4835095899998</v>
      </c>
      <c r="BK745" s="220">
        <f>BI745/BH745*100</f>
        <v>97.802034372286244</v>
      </c>
      <c r="BL745" s="221">
        <f>BJ745/BH745*100</f>
        <v>2.1979656277137534</v>
      </c>
    </row>
    <row r="746" spans="37:69" ht="15.75" thickBot="1" x14ac:dyDescent="0.3">
      <c r="AK746" s="675" t="s">
        <v>569</v>
      </c>
      <c r="AL746" s="725"/>
      <c r="AM746" s="597"/>
      <c r="AN746" s="597"/>
      <c r="AO746" s="597"/>
      <c r="AP746" s="590"/>
      <c r="AQ746" s="725"/>
      <c r="AR746" s="597"/>
      <c r="AS746" s="597"/>
      <c r="AT746" s="597"/>
      <c r="AU746" s="590"/>
      <c r="AV746" s="725"/>
      <c r="AW746" s="597"/>
      <c r="AX746" s="597"/>
      <c r="AY746" s="597"/>
      <c r="AZ746" s="713"/>
      <c r="BA746" s="713"/>
      <c r="BB746" s="590"/>
      <c r="BC746" s="717"/>
      <c r="BD746" s="717"/>
      <c r="BE746" s="717"/>
      <c r="BF746" s="717"/>
      <c r="BG746" s="717"/>
      <c r="BH746" s="585">
        <f>BI746+BJ746</f>
        <v>305627.60866438458</v>
      </c>
      <c r="BI746" s="585">
        <v>266422.95417400001</v>
      </c>
      <c r="BJ746" s="5">
        <v>39204.654490384593</v>
      </c>
      <c r="BK746" s="223">
        <f>BI746/BH746*100</f>
        <v>87.172410679221088</v>
      </c>
      <c r="BL746" s="414">
        <f>BJ746/BH746*100</f>
        <v>12.827589320778923</v>
      </c>
    </row>
    <row r="747" spans="37:69" ht="15.75" thickBot="1" x14ac:dyDescent="0.3">
      <c r="AK747" s="654" t="s">
        <v>570</v>
      </c>
      <c r="AL747" s="726"/>
      <c r="AM747" s="706"/>
      <c r="AN747" s="706"/>
      <c r="AO747" s="706"/>
      <c r="AP747" s="707"/>
      <c r="AQ747" s="726"/>
      <c r="AR747" s="706"/>
      <c r="AS747" s="706"/>
      <c r="AT747" s="706"/>
      <c r="AU747" s="707"/>
      <c r="AV747" s="726"/>
      <c r="AW747" s="706"/>
      <c r="AX747" s="706"/>
      <c r="AY747" s="706"/>
      <c r="AZ747" s="715"/>
      <c r="BA747" s="715"/>
      <c r="BB747" s="707"/>
      <c r="BC747" s="716"/>
      <c r="BD747" s="716"/>
      <c r="BE747" s="716"/>
      <c r="BF747" s="716"/>
      <c r="BG747" s="716"/>
      <c r="BH747" s="700">
        <f>BI747+BJ747</f>
        <v>610658.92603597452</v>
      </c>
      <c r="BI747" s="700">
        <f>BI745+BI746</f>
        <v>564749.78803599998</v>
      </c>
      <c r="BJ747" s="388">
        <f>BJ745+BJ746</f>
        <v>45909.137999974591</v>
      </c>
      <c r="BK747" s="684">
        <f>BI747/BH747*100</f>
        <v>92.482032761235686</v>
      </c>
      <c r="BL747" s="681">
        <f>BJ747/BH747*100</f>
        <v>7.5179672387643182</v>
      </c>
      <c r="BO747">
        <f>BJ729/BJ747*100-100</f>
        <v>14.506506308241057</v>
      </c>
      <c r="BP747">
        <f>BI738/BI756*100-100</f>
        <v>10.841319350744797</v>
      </c>
    </row>
    <row r="750" spans="37:69" ht="15.75" thickBot="1" x14ac:dyDescent="0.3"/>
    <row r="751" spans="37:69" ht="15.75" customHeight="1" thickBot="1" x14ac:dyDescent="0.3">
      <c r="AK751" s="1134" t="s">
        <v>605</v>
      </c>
      <c r="AL751" s="1129" t="s">
        <v>582</v>
      </c>
      <c r="AM751" s="1129"/>
      <c r="AN751" s="1129"/>
      <c r="AO751" s="1129"/>
      <c r="AP751" s="1129"/>
      <c r="AQ751" s="1129" t="s">
        <v>583</v>
      </c>
      <c r="AR751" s="1129"/>
      <c r="AS751" s="1129"/>
      <c r="AT751" s="1129"/>
      <c r="AU751" s="1129"/>
      <c r="AV751" s="1130" t="s">
        <v>584</v>
      </c>
      <c r="AW751" s="1131"/>
      <c r="AX751" s="1131"/>
      <c r="AY751" s="1131"/>
      <c r="AZ751" s="1131"/>
      <c r="BA751" s="1131"/>
      <c r="BB751" s="1132"/>
      <c r="BC751" s="722"/>
      <c r="BD751" s="722"/>
      <c r="BE751" s="722"/>
      <c r="BF751" s="722"/>
      <c r="BG751" s="722"/>
      <c r="BH751" s="1129" t="s">
        <v>585</v>
      </c>
      <c r="BI751" s="1129"/>
      <c r="BJ751" s="1129"/>
      <c r="BK751" s="1129"/>
      <c r="BL751" s="1129"/>
      <c r="BM751" s="723" t="s">
        <v>80</v>
      </c>
      <c r="BO751" t="s">
        <v>606</v>
      </c>
    </row>
    <row r="752" spans="37:69" ht="15.75" thickBot="1" x14ac:dyDescent="0.3">
      <c r="AK752" s="1135"/>
      <c r="AL752" s="1133" t="s">
        <v>560</v>
      </c>
      <c r="AM752" s="1133"/>
      <c r="AN752" s="1133"/>
      <c r="AO752" s="1116" t="s">
        <v>561</v>
      </c>
      <c r="AP752" s="1116"/>
      <c r="AQ752" s="1133" t="s">
        <v>560</v>
      </c>
      <c r="AR752" s="1133"/>
      <c r="AS752" s="1133"/>
      <c r="AT752" s="1116" t="s">
        <v>561</v>
      </c>
      <c r="AU752" s="1116"/>
      <c r="AV752" s="1117" t="s">
        <v>560</v>
      </c>
      <c r="AW752" s="1118"/>
      <c r="AX752" s="1119"/>
      <c r="AY752" s="1116" t="s">
        <v>561</v>
      </c>
      <c r="AZ752" s="1116"/>
      <c r="BA752" s="1116"/>
      <c r="BB752" s="1116"/>
      <c r="BC752" s="718"/>
      <c r="BD752" s="718"/>
      <c r="BE752" s="718"/>
      <c r="BF752" s="718"/>
      <c r="BG752" s="718"/>
      <c r="BH752" s="1133" t="s">
        <v>560</v>
      </c>
      <c r="BI752" s="1133"/>
      <c r="BJ752" s="1133"/>
      <c r="BK752" s="1116" t="s">
        <v>561</v>
      </c>
      <c r="BL752" s="1116"/>
    </row>
    <row r="753" spans="37:68" ht="30.75" thickBot="1" x14ac:dyDescent="0.3">
      <c r="AK753" s="1136"/>
      <c r="AL753" s="672" t="s">
        <v>562</v>
      </c>
      <c r="AM753" s="672" t="s">
        <v>594</v>
      </c>
      <c r="AN753" s="672" t="s">
        <v>595</v>
      </c>
      <c r="AO753" s="672" t="s">
        <v>596</v>
      </c>
      <c r="AP753" s="672" t="s">
        <v>597</v>
      </c>
      <c r="AQ753" s="672" t="s">
        <v>562</v>
      </c>
      <c r="AR753" s="672" t="s">
        <v>594</v>
      </c>
      <c r="AS753" s="672" t="s">
        <v>595</v>
      </c>
      <c r="AT753" s="672" t="s">
        <v>596</v>
      </c>
      <c r="AU753" s="672" t="s">
        <v>597</v>
      </c>
      <c r="AV753" s="672" t="s">
        <v>562</v>
      </c>
      <c r="AW753" s="672" t="s">
        <v>594</v>
      </c>
      <c r="AX753" s="672" t="s">
        <v>595</v>
      </c>
      <c r="AY753" s="672" t="s">
        <v>598</v>
      </c>
      <c r="AZ753" s="672"/>
      <c r="BA753" s="672"/>
      <c r="BB753" s="672" t="s">
        <v>597</v>
      </c>
      <c r="BC753" s="672"/>
      <c r="BD753" s="672"/>
      <c r="BE753" s="672"/>
      <c r="BF753" s="672"/>
      <c r="BG753" s="672"/>
      <c r="BH753" s="672" t="s">
        <v>562</v>
      </c>
      <c r="BI753" s="672" t="s">
        <v>594</v>
      </c>
      <c r="BJ753" s="672" t="s">
        <v>595</v>
      </c>
      <c r="BK753" s="672" t="s">
        <v>598</v>
      </c>
      <c r="BL753" s="672" t="s">
        <v>597</v>
      </c>
    </row>
    <row r="754" spans="37:68" ht="15.75" thickBot="1" x14ac:dyDescent="0.3">
      <c r="AK754" s="675" t="s">
        <v>568</v>
      </c>
      <c r="AL754" s="724"/>
      <c r="AM754" s="702"/>
      <c r="AN754" s="702"/>
      <c r="AO754" s="702"/>
      <c r="AP754" s="703"/>
      <c r="AQ754" s="724"/>
      <c r="AR754" s="702"/>
      <c r="AS754" s="702"/>
      <c r="AT754" s="702"/>
      <c r="AU754" s="703"/>
      <c r="AV754" s="724"/>
      <c r="AW754" s="702"/>
      <c r="AX754" s="702"/>
      <c r="AY754" s="702"/>
      <c r="AZ754" s="711"/>
      <c r="BA754" s="711"/>
      <c r="BB754" s="703"/>
      <c r="BC754" s="712"/>
      <c r="BD754" s="712"/>
      <c r="BE754" s="712"/>
      <c r="BF754" s="712"/>
      <c r="BG754" s="712"/>
      <c r="BH754" s="676">
        <f>'[15]2017. IV. - Állományi'!M28</f>
        <v>4126.7815629999996</v>
      </c>
      <c r="BI754" s="676">
        <f>'[15]2017. IV. - Állományi'!G28</f>
        <v>4101.7815630000005</v>
      </c>
      <c r="BJ754" s="676">
        <f>'[15]2017. IV. - Állományi'!L28</f>
        <v>25</v>
      </c>
      <c r="BK754" s="220">
        <f>BI754/BH754*100</f>
        <v>99.39420103491436</v>
      </c>
      <c r="BL754" s="220">
        <f>BJ754/BH754*100</f>
        <v>0.60579896508566433</v>
      </c>
      <c r="BN754" s="1"/>
    </row>
    <row r="755" spans="37:68" ht="15.75" thickBot="1" x14ac:dyDescent="0.3">
      <c r="AK755" s="675" t="s">
        <v>572</v>
      </c>
      <c r="AL755" s="725"/>
      <c r="AM755" s="597"/>
      <c r="AN755" s="597"/>
      <c r="AO755" s="597"/>
      <c r="AP755" s="590"/>
      <c r="AQ755" s="725"/>
      <c r="AR755" s="597"/>
      <c r="AS755" s="597"/>
      <c r="AT755" s="597"/>
      <c r="AU755" s="590"/>
      <c r="AV755" s="725"/>
      <c r="AW755" s="597"/>
      <c r="AX755" s="597"/>
      <c r="AY755" s="597"/>
      <c r="AZ755" s="713"/>
      <c r="BA755" s="713"/>
      <c r="BB755" s="590"/>
      <c r="BC755" s="714"/>
      <c r="BD755" s="714"/>
      <c r="BE755" s="714"/>
      <c r="BF755" s="714"/>
      <c r="BG755" s="714"/>
      <c r="BH755" s="676">
        <v>455838.51163369982</v>
      </c>
      <c r="BI755" s="676">
        <f>'[15]2017. IV. - Állományi'!G67</f>
        <v>264633.26394599996</v>
      </c>
      <c r="BJ755" s="676">
        <f>'[15]2017. IV. - Állományi'!L67</f>
        <v>191205.2476876998</v>
      </c>
      <c r="BK755" s="220">
        <f>BI755/BH755*100</f>
        <v>58.054169885201034</v>
      </c>
      <c r="BL755" s="220">
        <f>BJ755/BH755*100</f>
        <v>41.945830114798952</v>
      </c>
      <c r="BM755" s="1"/>
    </row>
    <row r="756" spans="37:68" ht="15.75" thickBot="1" x14ac:dyDescent="0.3">
      <c r="AK756" s="654" t="s">
        <v>573</v>
      </c>
      <c r="AL756" s="726"/>
      <c r="AM756" s="706"/>
      <c r="AN756" s="706"/>
      <c r="AO756" s="706"/>
      <c r="AP756" s="707"/>
      <c r="AQ756" s="726"/>
      <c r="AR756" s="706"/>
      <c r="AS756" s="706"/>
      <c r="AT756" s="706"/>
      <c r="AU756" s="707"/>
      <c r="AV756" s="726"/>
      <c r="AW756" s="706"/>
      <c r="AX756" s="706"/>
      <c r="AY756" s="706"/>
      <c r="AZ756" s="715"/>
      <c r="BA756" s="715"/>
      <c r="BB756" s="707"/>
      <c r="BC756" s="716"/>
      <c r="BD756" s="716"/>
      <c r="BE756" s="716"/>
      <c r="BF756" s="716"/>
      <c r="BG756" s="716"/>
      <c r="BH756" s="700">
        <f>BH754+BH755</f>
        <v>459965.29319669981</v>
      </c>
      <c r="BI756" s="388">
        <f>SUM(BI754:BI755)</f>
        <v>268735.04550899996</v>
      </c>
      <c r="BJ756" s="388">
        <f>SUM(BJ754:BJ755)</f>
        <v>191230.2476876998</v>
      </c>
      <c r="BK756" s="684">
        <f>BI756/BH756*100</f>
        <v>58.425070213738486</v>
      </c>
      <c r="BL756" s="684">
        <f>BJ756/BH756*100</f>
        <v>41.574929786261499</v>
      </c>
      <c r="BP756">
        <f>BI756/BI774*100-100</f>
        <v>0.25078738470114104</v>
      </c>
    </row>
    <row r="757" spans="37:68" ht="15.75" customHeight="1" x14ac:dyDescent="0.25">
      <c r="BI757" s="32">
        <f>BI756/BI774*100-100</f>
        <v>0.25078738470114104</v>
      </c>
      <c r="BJ757" s="27">
        <f>BJ756/BJ774*100-100</f>
        <v>24.013230688186042</v>
      </c>
      <c r="BK757" s="32">
        <f>BK756-BK774</f>
        <v>-5.057160987719918</v>
      </c>
      <c r="BL757" s="32">
        <f>BL756-BL774</f>
        <v>5.0571609877199037</v>
      </c>
    </row>
    <row r="758" spans="37:68" ht="15.75" customHeight="1" x14ac:dyDescent="0.25"/>
    <row r="759" spans="37:68" ht="15.75" thickBot="1" x14ac:dyDescent="0.3"/>
    <row r="760" spans="37:68" ht="15.75" thickBot="1" x14ac:dyDescent="0.3">
      <c r="AK760" s="1126" t="s">
        <v>607</v>
      </c>
      <c r="AL760" s="1129" t="s">
        <v>0</v>
      </c>
      <c r="AM760" s="1129"/>
      <c r="AN760" s="1129"/>
      <c r="AO760" s="1129"/>
      <c r="AP760" s="1129"/>
      <c r="AQ760" s="1129" t="s">
        <v>588</v>
      </c>
      <c r="AR760" s="1129"/>
      <c r="AS760" s="1129"/>
      <c r="AT760" s="1129"/>
      <c r="AU760" s="1129"/>
      <c r="AV760" s="1130" t="s">
        <v>589</v>
      </c>
      <c r="AW760" s="1131"/>
      <c r="AX760" s="1131"/>
      <c r="AY760" s="1131"/>
      <c r="AZ760" s="1131"/>
      <c r="BA760" s="1131"/>
      <c r="BB760" s="1132"/>
      <c r="BC760" s="722"/>
      <c r="BD760" s="722"/>
      <c r="BE760" s="722"/>
      <c r="BF760" s="722"/>
      <c r="BG760" s="722"/>
      <c r="BH760" s="1129" t="s">
        <v>590</v>
      </c>
      <c r="BI760" s="1129"/>
      <c r="BJ760" s="1129"/>
      <c r="BK760" s="1129"/>
      <c r="BL760" s="1129"/>
      <c r="BM760" s="719" t="s">
        <v>164</v>
      </c>
    </row>
    <row r="761" spans="37:68" ht="15.75" thickBot="1" x14ac:dyDescent="0.3">
      <c r="AK761" s="1127"/>
      <c r="AL761" s="1133" t="s">
        <v>560</v>
      </c>
      <c r="AM761" s="1133"/>
      <c r="AN761" s="1133"/>
      <c r="AO761" s="1116" t="s">
        <v>561</v>
      </c>
      <c r="AP761" s="1116"/>
      <c r="AQ761" s="1133" t="s">
        <v>560</v>
      </c>
      <c r="AR761" s="1133"/>
      <c r="AS761" s="1133"/>
      <c r="AT761" s="1116" t="s">
        <v>561</v>
      </c>
      <c r="AU761" s="1116"/>
      <c r="AV761" s="1117" t="s">
        <v>560</v>
      </c>
      <c r="AW761" s="1118"/>
      <c r="AX761" s="1119"/>
      <c r="AY761" s="1116" t="s">
        <v>561</v>
      </c>
      <c r="AZ761" s="1116"/>
      <c r="BA761" s="1116"/>
      <c r="BB761" s="1116"/>
      <c r="BC761" s="718"/>
      <c r="BD761" s="718"/>
      <c r="BE761" s="718"/>
      <c r="BF761" s="718"/>
      <c r="BG761" s="718"/>
      <c r="BH761" s="1133" t="s">
        <v>560</v>
      </c>
      <c r="BI761" s="1133"/>
      <c r="BJ761" s="1133"/>
      <c r="BK761" s="1116" t="s">
        <v>561</v>
      </c>
      <c r="BL761" s="1116"/>
    </row>
    <row r="762" spans="37:68" ht="30.75" thickBot="1" x14ac:dyDescent="0.3">
      <c r="AK762" s="1128"/>
      <c r="AL762" s="672" t="s">
        <v>562</v>
      </c>
      <c r="AM762" s="672" t="s">
        <v>594</v>
      </c>
      <c r="AN762" s="672" t="s">
        <v>595</v>
      </c>
      <c r="AO762" s="672" t="s">
        <v>596</v>
      </c>
      <c r="AP762" s="672" t="s">
        <v>597</v>
      </c>
      <c r="AQ762" s="672" t="s">
        <v>562</v>
      </c>
      <c r="AR762" s="672" t="s">
        <v>594</v>
      </c>
      <c r="AS762" s="672" t="s">
        <v>595</v>
      </c>
      <c r="AT762" s="672" t="s">
        <v>596</v>
      </c>
      <c r="AU762" s="672" t="s">
        <v>597</v>
      </c>
      <c r="AV762" s="672" t="s">
        <v>562</v>
      </c>
      <c r="AW762" s="672" t="s">
        <v>594</v>
      </c>
      <c r="AX762" s="672" t="s">
        <v>595</v>
      </c>
      <c r="AY762" s="672" t="s">
        <v>598</v>
      </c>
      <c r="AZ762" s="672"/>
      <c r="BA762" s="672"/>
      <c r="BB762" s="672" t="s">
        <v>597</v>
      </c>
      <c r="BC762" s="672"/>
      <c r="BD762" s="672"/>
      <c r="BE762" s="672"/>
      <c r="BF762" s="672"/>
      <c r="BG762" s="672"/>
      <c r="BH762" s="672" t="s">
        <v>562</v>
      </c>
      <c r="BI762" s="672" t="s">
        <v>594</v>
      </c>
      <c r="BJ762" s="672" t="s">
        <v>595</v>
      </c>
      <c r="BK762" s="672" t="s">
        <v>598</v>
      </c>
      <c r="BL762" s="672" t="s">
        <v>597</v>
      </c>
    </row>
    <row r="763" spans="37:68" ht="15.75" thickBot="1" x14ac:dyDescent="0.3">
      <c r="AK763" s="675" t="s">
        <v>568</v>
      </c>
      <c r="AL763" s="724"/>
      <c r="AM763" s="702"/>
      <c r="AN763" s="702"/>
      <c r="AO763" s="702"/>
      <c r="AP763" s="703"/>
      <c r="AQ763" s="724"/>
      <c r="AR763" s="702"/>
      <c r="AS763" s="702"/>
      <c r="AT763" s="702"/>
      <c r="AU763" s="703"/>
      <c r="AV763" s="724"/>
      <c r="AW763" s="702"/>
      <c r="AX763" s="702"/>
      <c r="AY763" s="702"/>
      <c r="AZ763" s="711"/>
      <c r="BA763" s="711"/>
      <c r="BB763" s="703"/>
      <c r="BC763" s="712"/>
      <c r="BD763" s="712"/>
      <c r="BE763" s="712"/>
      <c r="BF763" s="712"/>
      <c r="BG763" s="712"/>
      <c r="BH763" s="676">
        <f>'[15]2016. IV.- Állományi'!M14</f>
        <v>252637.27231799997</v>
      </c>
      <c r="BI763" s="676">
        <f>'[15]2016. IV.- Állományi'!G14</f>
        <v>248426.11516799999</v>
      </c>
      <c r="BJ763" s="676">
        <f>'[15]2016. IV.- Állományi'!L14</f>
        <v>4211.15715</v>
      </c>
      <c r="BK763" s="220">
        <f>BI763/BH763*100</f>
        <v>98.333121193337107</v>
      </c>
      <c r="BL763" s="220">
        <f>BJ763/BH763*100</f>
        <v>1.6668788066629086</v>
      </c>
      <c r="BN763" s="1"/>
    </row>
    <row r="764" spans="37:68" ht="15.75" thickBot="1" x14ac:dyDescent="0.3">
      <c r="AK764" s="675" t="s">
        <v>569</v>
      </c>
      <c r="AL764" s="725"/>
      <c r="AM764" s="597"/>
      <c r="AN764" s="597"/>
      <c r="AO764" s="597"/>
      <c r="AP764" s="590"/>
      <c r="AQ764" s="725"/>
      <c r="AR764" s="597"/>
      <c r="AS764" s="597"/>
      <c r="AT764" s="597"/>
      <c r="AU764" s="590"/>
      <c r="AV764" s="725"/>
      <c r="AW764" s="597"/>
      <c r="AX764" s="597"/>
      <c r="AY764" s="597"/>
      <c r="AZ764" s="713"/>
      <c r="BA764" s="713"/>
      <c r="BB764" s="590"/>
      <c r="BC764" s="714"/>
      <c r="BD764" s="714"/>
      <c r="BE764" s="714"/>
      <c r="BF764" s="714"/>
      <c r="BG764" s="714"/>
      <c r="BH764" s="676">
        <f>'[15]2016. IV.- Állományi'!M53</f>
        <v>310612.81795079139</v>
      </c>
      <c r="BI764" s="676">
        <f>'[15]2016. IV.- Állományi'!G53</f>
        <v>277163.30901199993</v>
      </c>
      <c r="BJ764" s="676">
        <f>'[15]2016. IV.- Állományi'!L53</f>
        <v>33449.508938791398</v>
      </c>
      <c r="BK764" s="220">
        <f>BI764/BH764*100</f>
        <v>89.231124085777196</v>
      </c>
      <c r="BL764" s="220">
        <f>BJ764/BH764*100</f>
        <v>10.768875914222772</v>
      </c>
      <c r="BN764" s="1"/>
    </row>
    <row r="765" spans="37:68" ht="15.75" thickBot="1" x14ac:dyDescent="0.3">
      <c r="AK765" s="654" t="s">
        <v>570</v>
      </c>
      <c r="AL765" s="726"/>
      <c r="AM765" s="706"/>
      <c r="AN765" s="706"/>
      <c r="AO765" s="706"/>
      <c r="AP765" s="707"/>
      <c r="AQ765" s="726"/>
      <c r="AR765" s="706"/>
      <c r="AS765" s="706"/>
      <c r="AT765" s="706"/>
      <c r="AU765" s="707"/>
      <c r="AV765" s="726"/>
      <c r="AW765" s="706"/>
      <c r="AX765" s="706"/>
      <c r="AY765" s="706"/>
      <c r="AZ765" s="715"/>
      <c r="BA765" s="715"/>
      <c r="BB765" s="707"/>
      <c r="BC765" s="716"/>
      <c r="BD765" s="716"/>
      <c r="BE765" s="716"/>
      <c r="BF765" s="716"/>
      <c r="BG765" s="716"/>
      <c r="BH765" s="700">
        <f>SUM(BH763:BH764)</f>
        <v>563250.09026879142</v>
      </c>
      <c r="BI765" s="388">
        <f>SUM(BI763:BI764)</f>
        <v>525589.42417999986</v>
      </c>
      <c r="BJ765" s="388">
        <f>SUM(BJ763:BJ764)</f>
        <v>37660.666088791397</v>
      </c>
      <c r="BK765" s="684">
        <f>BI765/BH765*100</f>
        <v>93.313686630601453</v>
      </c>
      <c r="BL765" s="684">
        <f>BJ765/BH765*100</f>
        <v>6.6863133693985137</v>
      </c>
      <c r="BO765">
        <f>BJ747/BJ765*100-100</f>
        <v>21.902087158352487</v>
      </c>
    </row>
    <row r="768" spans="37:68" ht="15.75" thickBot="1" x14ac:dyDescent="0.3"/>
    <row r="769" spans="37:67" ht="15.75" customHeight="1" thickBot="1" x14ac:dyDescent="0.3">
      <c r="AK769" s="1134" t="s">
        <v>608</v>
      </c>
      <c r="AL769" s="1129" t="s">
        <v>0</v>
      </c>
      <c r="AM769" s="1129"/>
      <c r="AN769" s="1129"/>
      <c r="AO769" s="1129"/>
      <c r="AP769" s="1129"/>
      <c r="AQ769" s="1129" t="s">
        <v>588</v>
      </c>
      <c r="AR769" s="1129"/>
      <c r="AS769" s="1129"/>
      <c r="AT769" s="1129"/>
      <c r="AU769" s="1129"/>
      <c r="AV769" s="1130" t="s">
        <v>589</v>
      </c>
      <c r="AW769" s="1131"/>
      <c r="AX769" s="1131"/>
      <c r="AY769" s="1131"/>
      <c r="AZ769" s="1131"/>
      <c r="BA769" s="1131"/>
      <c r="BB769" s="1132"/>
      <c r="BC769" s="722"/>
      <c r="BD769" s="722"/>
      <c r="BE769" s="722"/>
      <c r="BF769" s="722"/>
      <c r="BG769" s="722"/>
      <c r="BH769" s="1129" t="s">
        <v>590</v>
      </c>
      <c r="BI769" s="1129"/>
      <c r="BJ769" s="1129"/>
      <c r="BK769" s="1129"/>
      <c r="BL769" s="1129"/>
      <c r="BM769" s="723" t="s">
        <v>80</v>
      </c>
    </row>
    <row r="770" spans="37:67" ht="15.75" thickBot="1" x14ac:dyDescent="0.3">
      <c r="AK770" s="1135"/>
      <c r="AL770" s="1133" t="s">
        <v>560</v>
      </c>
      <c r="AM770" s="1133"/>
      <c r="AN770" s="1133"/>
      <c r="AO770" s="1116" t="s">
        <v>561</v>
      </c>
      <c r="AP770" s="1116"/>
      <c r="AQ770" s="1133" t="s">
        <v>560</v>
      </c>
      <c r="AR770" s="1133"/>
      <c r="AS770" s="1133"/>
      <c r="AT770" s="1116" t="s">
        <v>561</v>
      </c>
      <c r="AU770" s="1116"/>
      <c r="AV770" s="1117" t="s">
        <v>560</v>
      </c>
      <c r="AW770" s="1118"/>
      <c r="AX770" s="1119"/>
      <c r="AY770" s="1116" t="s">
        <v>561</v>
      </c>
      <c r="AZ770" s="1116"/>
      <c r="BA770" s="1116"/>
      <c r="BB770" s="1116"/>
      <c r="BC770" s="718"/>
      <c r="BD770" s="718"/>
      <c r="BE770" s="718"/>
      <c r="BF770" s="718"/>
      <c r="BG770" s="718"/>
      <c r="BH770" s="1133" t="s">
        <v>560</v>
      </c>
      <c r="BI770" s="1133"/>
      <c r="BJ770" s="1133"/>
      <c r="BK770" s="1116" t="s">
        <v>561</v>
      </c>
      <c r="BL770" s="1116"/>
    </row>
    <row r="771" spans="37:67" ht="30.75" thickBot="1" x14ac:dyDescent="0.3">
      <c r="AK771" s="1136"/>
      <c r="AL771" s="672" t="s">
        <v>562</v>
      </c>
      <c r="AM771" s="672" t="s">
        <v>594</v>
      </c>
      <c r="AN771" s="672" t="s">
        <v>595</v>
      </c>
      <c r="AO771" s="672" t="s">
        <v>596</v>
      </c>
      <c r="AP771" s="672" t="s">
        <v>597</v>
      </c>
      <c r="AQ771" s="672" t="s">
        <v>562</v>
      </c>
      <c r="AR771" s="672" t="s">
        <v>594</v>
      </c>
      <c r="AS771" s="672" t="s">
        <v>595</v>
      </c>
      <c r="AT771" s="672" t="s">
        <v>596</v>
      </c>
      <c r="AU771" s="672" t="s">
        <v>597</v>
      </c>
      <c r="AV771" s="672" t="s">
        <v>562</v>
      </c>
      <c r="AW771" s="672" t="s">
        <v>594</v>
      </c>
      <c r="AX771" s="672" t="s">
        <v>595</v>
      </c>
      <c r="AY771" s="672" t="s">
        <v>598</v>
      </c>
      <c r="AZ771" s="672"/>
      <c r="BA771" s="672"/>
      <c r="BB771" s="672" t="s">
        <v>597</v>
      </c>
      <c r="BC771" s="672"/>
      <c r="BD771" s="672"/>
      <c r="BE771" s="672"/>
      <c r="BF771" s="672"/>
      <c r="BG771" s="672"/>
      <c r="BH771" s="672" t="s">
        <v>562</v>
      </c>
      <c r="BI771" s="672" t="s">
        <v>594</v>
      </c>
      <c r="BJ771" s="672" t="s">
        <v>595</v>
      </c>
      <c r="BK771" s="672" t="s">
        <v>598</v>
      </c>
      <c r="BL771" s="672" t="s">
        <v>597</v>
      </c>
    </row>
    <row r="772" spans="37:67" ht="15.75" thickBot="1" x14ac:dyDescent="0.3">
      <c r="AK772" s="675" t="s">
        <v>568</v>
      </c>
      <c r="AL772" s="724"/>
      <c r="AM772" s="702"/>
      <c r="AN772" s="702"/>
      <c r="AO772" s="702"/>
      <c r="AP772" s="703"/>
      <c r="AQ772" s="724"/>
      <c r="AR772" s="702"/>
      <c r="AS772" s="702"/>
      <c r="AT772" s="702"/>
      <c r="AU772" s="703"/>
      <c r="AV772" s="724"/>
      <c r="AW772" s="702"/>
      <c r="AX772" s="702"/>
      <c r="AY772" s="702"/>
      <c r="AZ772" s="711"/>
      <c r="BA772" s="711"/>
      <c r="BB772" s="703"/>
      <c r="BC772" s="712"/>
      <c r="BD772" s="712"/>
      <c r="BE772" s="712"/>
      <c r="BF772" s="712"/>
      <c r="BG772" s="712"/>
      <c r="BH772" s="676">
        <v>3611.0146629999999</v>
      </c>
      <c r="BI772" s="676">
        <v>3553.0146629999999</v>
      </c>
      <c r="BJ772" s="676">
        <v>58</v>
      </c>
      <c r="BK772" s="220">
        <f>BI772/BH772*100</f>
        <v>98.393803254406777</v>
      </c>
      <c r="BL772" s="220">
        <f>BJ772/BH772*100</f>
        <v>1.6061967455932205</v>
      </c>
    </row>
    <row r="773" spans="37:67" ht="15.75" thickBot="1" x14ac:dyDescent="0.3">
      <c r="AK773" s="675" t="s">
        <v>572</v>
      </c>
      <c r="AL773" s="725"/>
      <c r="AM773" s="597"/>
      <c r="AN773" s="597"/>
      <c r="AO773" s="597"/>
      <c r="AP773" s="590"/>
      <c r="AQ773" s="725"/>
      <c r="AR773" s="597"/>
      <c r="AS773" s="597"/>
      <c r="AT773" s="597"/>
      <c r="AU773" s="590"/>
      <c r="AV773" s="725"/>
      <c r="AW773" s="597"/>
      <c r="AX773" s="597"/>
      <c r="AY773" s="597"/>
      <c r="AZ773" s="713"/>
      <c r="BA773" s="713"/>
      <c r="BB773" s="590"/>
      <c r="BC773" s="714"/>
      <c r="BD773" s="714"/>
      <c r="BE773" s="714"/>
      <c r="BF773" s="714"/>
      <c r="BG773" s="714"/>
      <c r="BH773" s="676">
        <v>418653.25173985079</v>
      </c>
      <c r="BI773" s="676">
        <v>264509.76321599999</v>
      </c>
      <c r="BJ773" s="676">
        <v>154143.4885238508</v>
      </c>
      <c r="BK773" s="220">
        <f>BI773/BH773*100</f>
        <v>63.181108021194866</v>
      </c>
      <c r="BL773" s="220">
        <f>BJ773/BI773*100</f>
        <v>58.275160300217898</v>
      </c>
      <c r="BN773" s="1"/>
    </row>
    <row r="774" spans="37:67" ht="15.75" thickBot="1" x14ac:dyDescent="0.3">
      <c r="AK774" s="654" t="s">
        <v>573</v>
      </c>
      <c r="AL774" s="726"/>
      <c r="AM774" s="706"/>
      <c r="AN774" s="706"/>
      <c r="AO774" s="706"/>
      <c r="AP774" s="707"/>
      <c r="AQ774" s="726"/>
      <c r="AR774" s="706"/>
      <c r="AS774" s="706"/>
      <c r="AT774" s="706"/>
      <c r="AU774" s="707"/>
      <c r="AV774" s="726"/>
      <c r="AW774" s="706"/>
      <c r="AX774" s="706"/>
      <c r="AY774" s="706"/>
      <c r="AZ774" s="715"/>
      <c r="BA774" s="715"/>
      <c r="BB774" s="707"/>
      <c r="BC774" s="716"/>
      <c r="BD774" s="716"/>
      <c r="BE774" s="716"/>
      <c r="BF774" s="716"/>
      <c r="BG774" s="716"/>
      <c r="BH774" s="700">
        <v>422264.2664028508</v>
      </c>
      <c r="BI774" s="388">
        <v>268062.777879</v>
      </c>
      <c r="BJ774" s="388">
        <v>154201.4885238508</v>
      </c>
      <c r="BK774" s="684">
        <f>BI774/BH774*100</f>
        <v>63.482231201458404</v>
      </c>
      <c r="BL774" s="684">
        <f>BJ774/BH774*100</f>
        <v>36.517768798541596</v>
      </c>
      <c r="BO774" s="32">
        <f>BK738-BK774</f>
        <v>-4.1431585269717033</v>
      </c>
    </row>
    <row r="777" spans="37:67" ht="15.75" thickBot="1" x14ac:dyDescent="0.3"/>
    <row r="778" spans="37:67" ht="15.75" thickBot="1" x14ac:dyDescent="0.3">
      <c r="AK778" s="1126" t="s">
        <v>609</v>
      </c>
      <c r="AL778" s="1129" t="s">
        <v>576</v>
      </c>
      <c r="AM778" s="1129"/>
      <c r="AN778" s="1129"/>
      <c r="AO778" s="1129"/>
      <c r="AP778" s="1129"/>
      <c r="AQ778" s="1129" t="s">
        <v>577</v>
      </c>
      <c r="AR778" s="1129"/>
      <c r="AS778" s="1129"/>
      <c r="AT778" s="1129"/>
      <c r="AU778" s="1129"/>
      <c r="AV778" s="1130" t="s">
        <v>578</v>
      </c>
      <c r="AW778" s="1131"/>
      <c r="AX778" s="1131"/>
      <c r="AY778" s="1131"/>
      <c r="AZ778" s="1131"/>
      <c r="BA778" s="1131"/>
      <c r="BB778" s="1132"/>
      <c r="BC778" s="722"/>
      <c r="BD778" s="722"/>
      <c r="BE778" s="722"/>
      <c r="BF778" s="722"/>
      <c r="BG778" s="722"/>
      <c r="BH778" s="1129" t="s">
        <v>579</v>
      </c>
      <c r="BI778" s="1129"/>
      <c r="BJ778" s="1129"/>
      <c r="BK778" s="1129"/>
      <c r="BL778" s="1129"/>
    </row>
    <row r="779" spans="37:67" ht="15.75" thickBot="1" x14ac:dyDescent="0.3">
      <c r="AK779" s="1127"/>
      <c r="AL779" s="1133" t="s">
        <v>560</v>
      </c>
      <c r="AM779" s="1133"/>
      <c r="AN779" s="1133"/>
      <c r="AO779" s="1116" t="s">
        <v>561</v>
      </c>
      <c r="AP779" s="1116"/>
      <c r="AQ779" s="1133" t="s">
        <v>560</v>
      </c>
      <c r="AR779" s="1133"/>
      <c r="AS779" s="1133"/>
      <c r="AT779" s="1116" t="s">
        <v>561</v>
      </c>
      <c r="AU779" s="1116"/>
      <c r="AV779" s="1117" t="s">
        <v>560</v>
      </c>
      <c r="AW779" s="1118"/>
      <c r="AX779" s="1119"/>
      <c r="AY779" s="1116" t="s">
        <v>561</v>
      </c>
      <c r="AZ779" s="1116"/>
      <c r="BA779" s="1116"/>
      <c r="BB779" s="1116"/>
      <c r="BC779" s="718"/>
      <c r="BD779" s="718"/>
      <c r="BE779" s="718"/>
      <c r="BF779" s="718"/>
      <c r="BG779" s="718"/>
      <c r="BH779" s="1133" t="s">
        <v>560</v>
      </c>
      <c r="BI779" s="1133"/>
      <c r="BJ779" s="1133"/>
      <c r="BK779" s="1116" t="s">
        <v>561</v>
      </c>
      <c r="BL779" s="1116"/>
    </row>
    <row r="780" spans="37:67" ht="15.75" thickBot="1" x14ac:dyDescent="0.3">
      <c r="AK780" s="1128"/>
      <c r="AL780" s="672"/>
      <c r="AM780" s="672"/>
      <c r="AN780" s="672"/>
      <c r="AO780" s="672"/>
      <c r="AP780" s="672"/>
      <c r="AQ780" s="672"/>
      <c r="AR780" s="672"/>
      <c r="AS780" s="672"/>
      <c r="AT780" s="672"/>
      <c r="AU780" s="672"/>
      <c r="AV780" s="672"/>
      <c r="AW780" s="672"/>
      <c r="AX780" s="672"/>
      <c r="AY780" s="672"/>
      <c r="AZ780" s="672"/>
      <c r="BA780" s="672"/>
      <c r="BB780" s="672"/>
      <c r="BC780" s="672"/>
      <c r="BD780" s="672"/>
      <c r="BE780" s="672"/>
      <c r="BF780" s="672"/>
      <c r="BG780" s="672"/>
      <c r="BH780" s="672"/>
      <c r="BI780" s="672"/>
      <c r="BJ780" s="672"/>
      <c r="BK780" s="672"/>
      <c r="BL780" s="672"/>
    </row>
    <row r="781" spans="37:67" ht="15.75" thickBot="1" x14ac:dyDescent="0.3">
      <c r="AK781" s="675" t="s">
        <v>610</v>
      </c>
      <c r="AL781" s="724"/>
      <c r="AM781" s="702"/>
      <c r="AN781" s="702"/>
      <c r="AO781" s="702"/>
      <c r="AP781" s="703"/>
      <c r="AQ781" s="724"/>
      <c r="AR781" s="702"/>
      <c r="AS781" s="702"/>
      <c r="AT781" s="702"/>
      <c r="AU781" s="703"/>
      <c r="AV781" s="724"/>
      <c r="AW781" s="702"/>
      <c r="AX781" s="702"/>
      <c r="AY781" s="702"/>
      <c r="AZ781" s="711"/>
      <c r="BA781" s="711"/>
      <c r="BB781" s="703"/>
      <c r="BC781" s="712"/>
      <c r="BD781" s="712"/>
      <c r="BE781" s="712"/>
      <c r="BF781" s="712"/>
      <c r="BG781" s="712"/>
      <c r="BH781" s="724"/>
      <c r="BI781" s="702"/>
      <c r="BJ781" s="702"/>
      <c r="BK781" s="702"/>
      <c r="BL781" s="703"/>
    </row>
    <row r="782" spans="37:67" ht="15.75" thickBot="1" x14ac:dyDescent="0.3">
      <c r="AK782" s="675" t="s">
        <v>611</v>
      </c>
      <c r="AL782" s="727"/>
      <c r="AM782" s="615"/>
      <c r="AN782" s="615"/>
      <c r="AO782" s="615"/>
      <c r="AP782" s="728"/>
      <c r="AQ782" s="727"/>
      <c r="AR782" s="615"/>
      <c r="AS782" s="615"/>
      <c r="AT782" s="615"/>
      <c r="AU782" s="728"/>
      <c r="AV782" s="727"/>
      <c r="AW782" s="615"/>
      <c r="AX782" s="615"/>
      <c r="AY782" s="615"/>
      <c r="AZ782" s="729"/>
      <c r="BA782" s="729"/>
      <c r="BB782" s="728"/>
      <c r="BC782" s="714"/>
      <c r="BD782" s="714"/>
      <c r="BE782" s="714"/>
      <c r="BF782" s="714"/>
      <c r="BG782" s="714"/>
      <c r="BH782" s="727"/>
      <c r="BI782" s="615"/>
      <c r="BJ782" s="615"/>
      <c r="BK782" s="615"/>
      <c r="BL782" s="728"/>
    </row>
    <row r="783" spans="37:67" ht="15.75" thickBot="1" x14ac:dyDescent="0.3">
      <c r="AK783" s="730" t="s">
        <v>612</v>
      </c>
      <c r="AL783" s="727"/>
      <c r="AM783" s="615"/>
      <c r="AN783" s="615"/>
      <c r="AO783" s="615"/>
      <c r="AP783" s="728"/>
      <c r="AQ783" s="727"/>
      <c r="AR783" s="615"/>
      <c r="AS783" s="615"/>
      <c r="AT783" s="615"/>
      <c r="AU783" s="728"/>
      <c r="AV783" s="727"/>
      <c r="AW783" s="615"/>
      <c r="AX783" s="615"/>
      <c r="AY783" s="615"/>
      <c r="AZ783" s="729"/>
      <c r="BA783" s="729"/>
      <c r="BB783" s="728"/>
      <c r="BC783" s="714"/>
      <c r="BD783" s="714"/>
      <c r="BE783" s="714"/>
      <c r="BF783" s="714"/>
      <c r="BG783" s="714"/>
      <c r="BH783" s="727"/>
      <c r="BI783" s="615"/>
      <c r="BJ783" s="615"/>
      <c r="BK783" s="615"/>
      <c r="BL783" s="728"/>
    </row>
    <row r="784" spans="37:67" ht="15.75" thickBot="1" x14ac:dyDescent="0.3">
      <c r="AK784" s="675" t="s">
        <v>229</v>
      </c>
      <c r="AL784" s="727"/>
      <c r="AM784" s="615"/>
      <c r="AN784" s="615"/>
      <c r="AO784" s="615"/>
      <c r="AP784" s="728"/>
      <c r="AQ784" s="727"/>
      <c r="AR784" s="615"/>
      <c r="AS784" s="615"/>
      <c r="AT784" s="615"/>
      <c r="AU784" s="728"/>
      <c r="AV784" s="727"/>
      <c r="AW784" s="615"/>
      <c r="AX784" s="615"/>
      <c r="AY784" s="615"/>
      <c r="AZ784" s="729"/>
      <c r="BA784" s="729"/>
      <c r="BB784" s="728"/>
      <c r="BC784" s="714"/>
      <c r="BD784" s="714"/>
      <c r="BE784" s="714"/>
      <c r="BF784" s="714"/>
      <c r="BG784" s="714"/>
      <c r="BH784" s="727"/>
      <c r="BI784" s="615"/>
      <c r="BJ784" s="615"/>
      <c r="BK784" s="615"/>
      <c r="BL784" s="728"/>
    </row>
    <row r="785" spans="37:64" ht="15.75" thickBot="1" x14ac:dyDescent="0.3">
      <c r="AK785" s="675" t="s">
        <v>613</v>
      </c>
      <c r="AL785" s="727"/>
      <c r="AM785" s="615"/>
      <c r="AN785" s="615"/>
      <c r="AO785" s="615"/>
      <c r="AP785" s="728"/>
      <c r="AQ785" s="727"/>
      <c r="AR785" s="615"/>
      <c r="AS785" s="615"/>
      <c r="AT785" s="615"/>
      <c r="AU785" s="728"/>
      <c r="AV785" s="727"/>
      <c r="AW785" s="615"/>
      <c r="AX785" s="615"/>
      <c r="AY785" s="615"/>
      <c r="AZ785" s="729"/>
      <c r="BA785" s="729"/>
      <c r="BB785" s="728"/>
      <c r="BC785" s="714"/>
      <c r="BD785" s="714"/>
      <c r="BE785" s="714"/>
      <c r="BF785" s="714"/>
      <c r="BG785" s="714"/>
      <c r="BH785" s="727"/>
      <c r="BI785" s="615"/>
      <c r="BJ785" s="615"/>
      <c r="BK785" s="615"/>
      <c r="BL785" s="728"/>
    </row>
    <row r="786" spans="37:64" ht="15.75" thickBot="1" x14ac:dyDescent="0.3">
      <c r="AK786" s="654" t="s">
        <v>570</v>
      </c>
      <c r="AL786" s="726"/>
      <c r="AM786" s="706"/>
      <c r="AN786" s="706"/>
      <c r="AO786" s="706"/>
      <c r="AP786" s="707"/>
      <c r="AQ786" s="726"/>
      <c r="AR786" s="706"/>
      <c r="AS786" s="706"/>
      <c r="AT786" s="706"/>
      <c r="AU786" s="707"/>
      <c r="AV786" s="726"/>
      <c r="AW786" s="706"/>
      <c r="AX786" s="706"/>
      <c r="AY786" s="706"/>
      <c r="AZ786" s="715"/>
      <c r="BA786" s="715"/>
      <c r="BB786" s="707"/>
      <c r="BC786" s="716"/>
      <c r="BD786" s="716"/>
      <c r="BE786" s="716"/>
      <c r="BF786" s="716"/>
      <c r="BG786" s="716"/>
      <c r="BH786" s="726"/>
      <c r="BI786" s="706"/>
      <c r="BJ786" s="706"/>
      <c r="BK786" s="706"/>
      <c r="BL786" s="707"/>
    </row>
    <row r="815" spans="50:56" x14ac:dyDescent="0.25">
      <c r="AX815" s="32"/>
      <c r="AY815" s="32"/>
      <c r="AZ815" s="32"/>
      <c r="BD815" s="1"/>
    </row>
    <row r="816" spans="50:56" x14ac:dyDescent="0.25">
      <c r="AX816" s="32"/>
      <c r="AY816" s="32"/>
      <c r="AZ816" s="32"/>
      <c r="BA816" s="32"/>
      <c r="BD816" s="1"/>
    </row>
    <row r="817" spans="50:59" x14ac:dyDescent="0.25">
      <c r="AX817" s="32"/>
      <c r="AY817" s="32"/>
      <c r="AZ817" s="32"/>
      <c r="BD817" s="86"/>
    </row>
    <row r="818" spans="50:59" x14ac:dyDescent="0.25">
      <c r="AX818" s="32"/>
      <c r="AY818" s="32"/>
      <c r="AZ818" s="32"/>
      <c r="BD818" s="27"/>
    </row>
    <row r="819" spans="50:59" x14ac:dyDescent="0.25">
      <c r="AX819" s="32"/>
      <c r="AY819" s="32"/>
      <c r="AZ819" s="32"/>
      <c r="BA819" s="32"/>
      <c r="BB819" s="32"/>
      <c r="BC819" s="32"/>
      <c r="BD819" s="32"/>
      <c r="BE819" s="32"/>
      <c r="BF819" s="32"/>
      <c r="BG819" s="32"/>
    </row>
    <row r="820" spans="50:59" x14ac:dyDescent="0.25">
      <c r="AX820" s="32"/>
      <c r="AY820" s="32"/>
      <c r="AZ820" s="32"/>
      <c r="BA820" s="32"/>
      <c r="BB820" s="32"/>
      <c r="BC820" s="32"/>
      <c r="BD820" s="32"/>
      <c r="BE820" s="32"/>
      <c r="BF820" s="32"/>
      <c r="BG820" s="32"/>
    </row>
    <row r="821" spans="50:59" x14ac:dyDescent="0.25">
      <c r="AX821" s="32"/>
      <c r="AY821" s="32"/>
      <c r="AZ821" s="32"/>
      <c r="BA821" s="32"/>
      <c r="BB821" s="32"/>
      <c r="BC821" s="32"/>
      <c r="BD821" s="32"/>
      <c r="BE821" s="32"/>
      <c r="BF821" s="32"/>
      <c r="BG821" s="32"/>
    </row>
    <row r="822" spans="50:59" x14ac:dyDescent="0.25">
      <c r="AX822" s="32"/>
      <c r="AY822" s="32"/>
      <c r="AZ822" s="32"/>
      <c r="BA822" s="32"/>
      <c r="BB822" s="32"/>
      <c r="BC822" s="32"/>
      <c r="BD822" s="32"/>
      <c r="BE822" s="32"/>
      <c r="BF822" s="32"/>
      <c r="BG822" s="32"/>
    </row>
    <row r="823" spans="50:59" x14ac:dyDescent="0.25">
      <c r="AX823" s="32"/>
      <c r="AY823" s="32"/>
      <c r="AZ823" s="32"/>
      <c r="BA823" s="32"/>
      <c r="BB823" s="32"/>
      <c r="BC823" s="32"/>
      <c r="BD823" s="32"/>
      <c r="BE823" s="32"/>
      <c r="BF823" s="32"/>
      <c r="BG823" s="32"/>
    </row>
    <row r="824" spans="50:59" x14ac:dyDescent="0.25">
      <c r="AX824" s="32"/>
      <c r="AY824" s="32"/>
      <c r="AZ824" s="32"/>
      <c r="BA824" s="32"/>
      <c r="BB824" s="32"/>
      <c r="BC824" s="32"/>
      <c r="BD824" s="32"/>
      <c r="BE824" s="32"/>
      <c r="BF824" s="32"/>
      <c r="BG824" s="32"/>
    </row>
    <row r="825" spans="50:59" x14ac:dyDescent="0.25">
      <c r="AX825" s="32"/>
      <c r="AY825" s="32"/>
      <c r="AZ825" s="32"/>
      <c r="BA825" s="32"/>
      <c r="BB825" s="32"/>
      <c r="BC825" s="32"/>
      <c r="BD825" s="32"/>
      <c r="BE825" s="32"/>
      <c r="BF825" s="32"/>
      <c r="BG825" s="32"/>
    </row>
    <row r="826" spans="50:59" x14ac:dyDescent="0.25">
      <c r="AX826" s="32"/>
      <c r="AY826" s="32"/>
      <c r="AZ826" s="32"/>
      <c r="BA826" s="32"/>
      <c r="BB826" s="32"/>
      <c r="BC826" s="32"/>
      <c r="BD826" s="32"/>
      <c r="BE826" s="32"/>
      <c r="BF826" s="32"/>
      <c r="BG826" s="32"/>
    </row>
    <row r="827" spans="50:59" x14ac:dyDescent="0.25">
      <c r="AX827" s="32"/>
      <c r="AY827" s="32"/>
      <c r="AZ827" s="32"/>
      <c r="BA827" s="32"/>
      <c r="BB827" s="32"/>
      <c r="BC827" s="32"/>
      <c r="BD827" s="32"/>
      <c r="BE827" s="32"/>
      <c r="BF827" s="32"/>
      <c r="BG827" s="32"/>
    </row>
    <row r="828" spans="50:59" x14ac:dyDescent="0.25">
      <c r="AX828" s="32"/>
      <c r="AY828" s="32"/>
      <c r="AZ828" s="32"/>
      <c r="BA828" s="32"/>
      <c r="BB828" s="32"/>
      <c r="BC828" s="32"/>
      <c r="BD828" s="32"/>
      <c r="BE828" s="32"/>
      <c r="BF828" s="32"/>
      <c r="BG828" s="32"/>
    </row>
    <row r="829" spans="50:59" x14ac:dyDescent="0.25">
      <c r="AX829" s="32"/>
      <c r="AY829" s="32"/>
      <c r="AZ829" s="32"/>
      <c r="BA829" s="32"/>
      <c r="BB829" s="32"/>
      <c r="BC829" s="32"/>
      <c r="BD829" s="32"/>
      <c r="BE829" s="32"/>
      <c r="BF829" s="32"/>
      <c r="BG829" s="32"/>
    </row>
    <row r="830" spans="50:59" x14ac:dyDescent="0.25">
      <c r="BA830" s="32"/>
      <c r="BB830" s="32"/>
      <c r="BC830" s="32"/>
      <c r="BD830" s="32"/>
      <c r="BE830" s="32"/>
      <c r="BF830" s="32"/>
      <c r="BG830" s="32"/>
    </row>
    <row r="832" spans="50:59" x14ac:dyDescent="0.25">
      <c r="AX832" s="27"/>
    </row>
    <row r="854" spans="45:63" x14ac:dyDescent="0.25">
      <c r="BH854" s="147"/>
      <c r="BI854" s="32"/>
      <c r="BJ854" s="32"/>
    </row>
    <row r="855" spans="45:63" x14ac:dyDescent="0.25">
      <c r="BH855" s="106"/>
      <c r="BI855" s="32"/>
      <c r="BJ855" s="32"/>
    </row>
    <row r="856" spans="45:63" x14ac:dyDescent="0.25">
      <c r="BH856" s="106"/>
      <c r="BI856" s="32"/>
      <c r="BJ856" s="32"/>
      <c r="BK856" s="32"/>
    </row>
    <row r="857" spans="45:63" x14ac:dyDescent="0.25">
      <c r="BH857" s="32"/>
      <c r="BI857" s="32"/>
      <c r="BJ857" s="32"/>
      <c r="BK857" s="32"/>
    </row>
    <row r="858" spans="45:63" x14ac:dyDescent="0.25">
      <c r="AS858" s="1"/>
      <c r="AT858" s="1"/>
      <c r="AU858" s="1"/>
      <c r="AW858" s="1"/>
      <c r="BH858" s="32"/>
      <c r="BI858" s="32"/>
      <c r="BJ858" s="32"/>
      <c r="BK858" s="32"/>
    </row>
    <row r="859" spans="45:63" x14ac:dyDescent="0.25">
      <c r="BH859" s="106"/>
      <c r="BI859" s="32"/>
      <c r="BJ859" s="32"/>
      <c r="BK859" s="32"/>
    </row>
    <row r="860" spans="45:63" x14ac:dyDescent="0.25">
      <c r="BH860" s="32"/>
      <c r="BI860" s="32"/>
      <c r="BJ860" s="32"/>
      <c r="BK860" s="32"/>
    </row>
    <row r="861" spans="45:63" x14ac:dyDescent="0.25">
      <c r="BH861" s="106"/>
      <c r="BI861" s="32"/>
      <c r="BJ861" s="32"/>
      <c r="BK861" s="32"/>
    </row>
    <row r="862" spans="45:63" x14ac:dyDescent="0.25">
      <c r="BH862" s="27"/>
      <c r="BI862" s="32"/>
      <c r="BJ862" s="32"/>
      <c r="BK862" s="32"/>
    </row>
    <row r="863" spans="45:63" x14ac:dyDescent="0.25">
      <c r="BH863" s="27"/>
      <c r="BI863" s="32"/>
      <c r="BJ863" s="32"/>
      <c r="BK863" s="32"/>
    </row>
    <row r="864" spans="45:63" x14ac:dyDescent="0.25">
      <c r="BH864" s="27"/>
      <c r="BI864" s="32"/>
      <c r="BJ864" s="32"/>
      <c r="BK864" s="32"/>
    </row>
    <row r="865" spans="60:63" x14ac:dyDescent="0.25">
      <c r="BH865" s="106"/>
      <c r="BI865" s="32"/>
      <c r="BJ865" s="32"/>
      <c r="BK865" s="32"/>
    </row>
    <row r="866" spans="60:63" x14ac:dyDescent="0.25">
      <c r="BH866" s="107"/>
      <c r="BI866" s="32"/>
      <c r="BJ866" s="32"/>
      <c r="BK866" s="32"/>
    </row>
    <row r="867" spans="60:63" x14ac:dyDescent="0.25">
      <c r="BH867" s="32"/>
      <c r="BI867" s="32"/>
      <c r="BJ867" s="32"/>
      <c r="BK867" s="32"/>
    </row>
    <row r="868" spans="60:63" x14ac:dyDescent="0.25">
      <c r="BI868" s="32"/>
      <c r="BJ868" s="32"/>
      <c r="BK868" s="32"/>
    </row>
  </sheetData>
  <mergeCells count="279">
    <mergeCell ref="AT779:AU779"/>
    <mergeCell ref="AV779:AX779"/>
    <mergeCell ref="AY779:BB779"/>
    <mergeCell ref="BH779:BJ779"/>
    <mergeCell ref="BK779:BL779"/>
    <mergeCell ref="BH770:BJ770"/>
    <mergeCell ref="BK770:BL770"/>
    <mergeCell ref="AK778:AK780"/>
    <mergeCell ref="AL778:AP778"/>
    <mergeCell ref="AQ778:AU778"/>
    <mergeCell ref="AV778:BB778"/>
    <mergeCell ref="BH778:BL778"/>
    <mergeCell ref="AL779:AN779"/>
    <mergeCell ref="AO779:AP779"/>
    <mergeCell ref="AQ779:AS779"/>
    <mergeCell ref="AL770:AN770"/>
    <mergeCell ref="AO770:AP770"/>
    <mergeCell ref="BH760:BL760"/>
    <mergeCell ref="AL761:AN761"/>
    <mergeCell ref="AO761:AP761"/>
    <mergeCell ref="AQ761:AS761"/>
    <mergeCell ref="BH761:BJ761"/>
    <mergeCell ref="BK761:BL761"/>
    <mergeCell ref="AV770:AX770"/>
    <mergeCell ref="AY770:BB770"/>
    <mergeCell ref="AK769:AK771"/>
    <mergeCell ref="AL769:AP769"/>
    <mergeCell ref="AQ769:AU769"/>
    <mergeCell ref="AV769:BB769"/>
    <mergeCell ref="BH769:BL769"/>
    <mergeCell ref="AT761:AU761"/>
    <mergeCell ref="AV761:AX761"/>
    <mergeCell ref="AY761:BB761"/>
    <mergeCell ref="AQ770:AS770"/>
    <mergeCell ref="AT770:AU770"/>
    <mergeCell ref="AK760:AK762"/>
    <mergeCell ref="AL760:AP760"/>
    <mergeCell ref="AQ760:AU760"/>
    <mergeCell ref="AV760:BB760"/>
    <mergeCell ref="BH743:BJ743"/>
    <mergeCell ref="BK743:BL743"/>
    <mergeCell ref="AK751:AK753"/>
    <mergeCell ref="AL751:AP751"/>
    <mergeCell ref="AQ751:AU751"/>
    <mergeCell ref="AV751:BB751"/>
    <mergeCell ref="BH751:BL751"/>
    <mergeCell ref="BH752:BJ752"/>
    <mergeCell ref="BK752:BL752"/>
    <mergeCell ref="AL752:AN752"/>
    <mergeCell ref="AO752:AP752"/>
    <mergeCell ref="AQ752:AS752"/>
    <mergeCell ref="AT752:AU752"/>
    <mergeCell ref="AV752:AX752"/>
    <mergeCell ref="AY752:BB752"/>
    <mergeCell ref="AK733:AK735"/>
    <mergeCell ref="AL733:AP733"/>
    <mergeCell ref="AQ733:AU733"/>
    <mergeCell ref="AV733:BB733"/>
    <mergeCell ref="BH733:BL733"/>
    <mergeCell ref="BH734:BJ734"/>
    <mergeCell ref="BK734:BL734"/>
    <mergeCell ref="AK742:AK744"/>
    <mergeCell ref="AL742:AP742"/>
    <mergeCell ref="AQ742:AU742"/>
    <mergeCell ref="AV742:BB742"/>
    <mergeCell ref="BH742:BL742"/>
    <mergeCell ref="AL743:AN743"/>
    <mergeCell ref="AO743:AP743"/>
    <mergeCell ref="AQ743:AS743"/>
    <mergeCell ref="AL734:AN734"/>
    <mergeCell ref="AO734:AP734"/>
    <mergeCell ref="AQ734:AS734"/>
    <mergeCell ref="AT734:AU734"/>
    <mergeCell ref="AV734:AX734"/>
    <mergeCell ref="AY734:BB734"/>
    <mergeCell ref="AT743:AU743"/>
    <mergeCell ref="AV743:AX743"/>
    <mergeCell ref="AY743:BB743"/>
    <mergeCell ref="AK724:AK726"/>
    <mergeCell ref="AL724:AP724"/>
    <mergeCell ref="AQ724:AU724"/>
    <mergeCell ref="AV724:BB724"/>
    <mergeCell ref="BH724:BL724"/>
    <mergeCell ref="AL725:AN725"/>
    <mergeCell ref="AO725:AP725"/>
    <mergeCell ref="AQ725:AS725"/>
    <mergeCell ref="AL712:AN712"/>
    <mergeCell ref="AO712:AP712"/>
    <mergeCell ref="AQ712:AS712"/>
    <mergeCell ref="AT712:AU712"/>
    <mergeCell ref="AV712:AX712"/>
    <mergeCell ref="AY712:BB712"/>
    <mergeCell ref="AT725:AU725"/>
    <mergeCell ref="AV725:AX725"/>
    <mergeCell ref="AY725:BB725"/>
    <mergeCell ref="BH725:BJ725"/>
    <mergeCell ref="BK725:BL725"/>
    <mergeCell ref="AY703:BB703"/>
    <mergeCell ref="BH703:BJ703"/>
    <mergeCell ref="BK703:BL703"/>
    <mergeCell ref="AK711:AK713"/>
    <mergeCell ref="AL711:AP711"/>
    <mergeCell ref="AQ711:AU711"/>
    <mergeCell ref="AV711:BB711"/>
    <mergeCell ref="BH711:BL711"/>
    <mergeCell ref="BH712:BJ712"/>
    <mergeCell ref="BK712:BL712"/>
    <mergeCell ref="AK691:AK693"/>
    <mergeCell ref="AL691:AP691"/>
    <mergeCell ref="AQ691:AU691"/>
    <mergeCell ref="AV691:BB691"/>
    <mergeCell ref="BH691:BL691"/>
    <mergeCell ref="AL692:AN692"/>
    <mergeCell ref="BK692:BL692"/>
    <mergeCell ref="AK699:BL699"/>
    <mergeCell ref="AK702:AK704"/>
    <mergeCell ref="AL702:AP702"/>
    <mergeCell ref="AQ702:AU702"/>
    <mergeCell ref="AV702:BB702"/>
    <mergeCell ref="BH702:BL702"/>
    <mergeCell ref="AL703:AN703"/>
    <mergeCell ref="AO703:AP703"/>
    <mergeCell ref="AQ703:AS703"/>
    <mergeCell ref="AO692:AP692"/>
    <mergeCell ref="AQ692:AS692"/>
    <mergeCell ref="AT692:AU692"/>
    <mergeCell ref="AV692:AX692"/>
    <mergeCell ref="AY692:BB692"/>
    <mergeCell ref="BH692:BJ692"/>
    <mergeCell ref="AT703:AU703"/>
    <mergeCell ref="AV703:AX703"/>
    <mergeCell ref="AK684:AK686"/>
    <mergeCell ref="AL684:AP684"/>
    <mergeCell ref="AQ684:AU684"/>
    <mergeCell ref="AV684:BB684"/>
    <mergeCell ref="BH684:BL684"/>
    <mergeCell ref="AL685:AN685"/>
    <mergeCell ref="AO685:AP685"/>
    <mergeCell ref="AQ685:AS685"/>
    <mergeCell ref="AT685:AU685"/>
    <mergeCell ref="AV685:AX685"/>
    <mergeCell ref="AY685:BB685"/>
    <mergeCell ref="BH685:BJ685"/>
    <mergeCell ref="BK685:BL685"/>
    <mergeCell ref="BH669:BJ669"/>
    <mergeCell ref="BK669:BL669"/>
    <mergeCell ref="AK675:AK677"/>
    <mergeCell ref="AL675:AP675"/>
    <mergeCell ref="AQ675:AU675"/>
    <mergeCell ref="AV675:BB675"/>
    <mergeCell ref="BH675:BL675"/>
    <mergeCell ref="AL676:AN676"/>
    <mergeCell ref="BK676:BL676"/>
    <mergeCell ref="AO676:AP676"/>
    <mergeCell ref="AQ676:AS676"/>
    <mergeCell ref="AT676:AU676"/>
    <mergeCell ref="AV676:AX676"/>
    <mergeCell ref="AY676:BB676"/>
    <mergeCell ref="BH676:BJ676"/>
    <mergeCell ref="AK659:AK661"/>
    <mergeCell ref="AL659:AP659"/>
    <mergeCell ref="AQ659:AU659"/>
    <mergeCell ref="AV659:BB659"/>
    <mergeCell ref="BH659:BL659"/>
    <mergeCell ref="AL660:AN660"/>
    <mergeCell ref="BK660:BL660"/>
    <mergeCell ref="AK668:AK670"/>
    <mergeCell ref="AL668:AP668"/>
    <mergeCell ref="AQ668:AU668"/>
    <mergeCell ref="AV668:BB668"/>
    <mergeCell ref="BH668:BL668"/>
    <mergeCell ref="AL669:AN669"/>
    <mergeCell ref="AO669:AP669"/>
    <mergeCell ref="AQ669:AS669"/>
    <mergeCell ref="AT669:AU669"/>
    <mergeCell ref="AO660:AP660"/>
    <mergeCell ref="AQ660:AS660"/>
    <mergeCell ref="AT660:AU660"/>
    <mergeCell ref="AV660:AX660"/>
    <mergeCell ref="AY660:BB660"/>
    <mergeCell ref="BH660:BJ660"/>
    <mergeCell ref="AV669:AX669"/>
    <mergeCell ref="AY669:BB669"/>
    <mergeCell ref="BY652:CK652"/>
    <mergeCell ref="CM652:CQ652"/>
    <mergeCell ref="AL653:AN653"/>
    <mergeCell ref="AO653:AP653"/>
    <mergeCell ref="AQ653:AS653"/>
    <mergeCell ref="AT653:AU653"/>
    <mergeCell ref="AV653:AX653"/>
    <mergeCell ref="AY653:AZ653"/>
    <mergeCell ref="BA653:BC653"/>
    <mergeCell ref="BH653:BI653"/>
    <mergeCell ref="BY653:CG653"/>
    <mergeCell ref="CH653:CK653"/>
    <mergeCell ref="CM653:CO653"/>
    <mergeCell ref="CP653:CQ653"/>
    <mergeCell ref="AY643:AZ643"/>
    <mergeCell ref="BA643:BC643"/>
    <mergeCell ref="BH643:BI643"/>
    <mergeCell ref="AK652:AK654"/>
    <mergeCell ref="AL652:AP652"/>
    <mergeCell ref="AQ652:AU652"/>
    <mergeCell ref="AV652:AZ652"/>
    <mergeCell ref="BA652:BI652"/>
    <mergeCell ref="AK642:AK644"/>
    <mergeCell ref="AL642:AP642"/>
    <mergeCell ref="AQ642:AU642"/>
    <mergeCell ref="AV642:AZ642"/>
    <mergeCell ref="BA642:BI642"/>
    <mergeCell ref="AL643:AN643"/>
    <mergeCell ref="AO643:AP643"/>
    <mergeCell ref="AQ643:AS643"/>
    <mergeCell ref="AT643:AU643"/>
    <mergeCell ref="AV643:AX643"/>
    <mergeCell ref="AT636:AU636"/>
    <mergeCell ref="AV636:AX636"/>
    <mergeCell ref="AY636:AZ636"/>
    <mergeCell ref="BA636:BC636"/>
    <mergeCell ref="BH636:BI636"/>
    <mergeCell ref="BK636:BL636"/>
    <mergeCell ref="AK620:AW620"/>
    <mergeCell ref="AK633:BI633"/>
    <mergeCell ref="AK635:AK637"/>
    <mergeCell ref="AL635:AP635"/>
    <mergeCell ref="AQ635:AU635"/>
    <mergeCell ref="AV635:AZ635"/>
    <mergeCell ref="BA635:BI635"/>
    <mergeCell ref="AL636:AN636"/>
    <mergeCell ref="AO636:AP636"/>
    <mergeCell ref="AQ636:AS636"/>
    <mergeCell ref="AK501:BG501"/>
    <mergeCell ref="AK520:BF520"/>
    <mergeCell ref="AK533:BF533"/>
    <mergeCell ref="AK577:BG577"/>
    <mergeCell ref="AK593:BG593"/>
    <mergeCell ref="AK610:AW610"/>
    <mergeCell ref="AK407:BF407"/>
    <mergeCell ref="AK424:BA424"/>
    <mergeCell ref="AK434:BA434"/>
    <mergeCell ref="AK445:BG445"/>
    <mergeCell ref="AK463:BG463"/>
    <mergeCell ref="AK482:BG482"/>
    <mergeCell ref="AK334:BF334"/>
    <mergeCell ref="AK351:BF351"/>
    <mergeCell ref="S365:AD372"/>
    <mergeCell ref="AK369:BA369"/>
    <mergeCell ref="AK379:BA379"/>
    <mergeCell ref="AK390:BF390"/>
    <mergeCell ref="AK249:BA249"/>
    <mergeCell ref="AK260:BA260"/>
    <mergeCell ref="AK271:BF271"/>
    <mergeCell ref="AK288:BF288"/>
    <mergeCell ref="AK306:BA306"/>
    <mergeCell ref="AK318:BA318"/>
    <mergeCell ref="AK156:BF156"/>
    <mergeCell ref="AK173:BF173"/>
    <mergeCell ref="AK191:BA191"/>
    <mergeCell ref="AK203:BA203"/>
    <mergeCell ref="AK215:BF215"/>
    <mergeCell ref="AK232:BF232"/>
    <mergeCell ref="AK83:BB83"/>
    <mergeCell ref="D88:F88"/>
    <mergeCell ref="AK96:BG96"/>
    <mergeCell ref="AK113:BG113"/>
    <mergeCell ref="AK132:BA132"/>
    <mergeCell ref="AK144:BA144"/>
    <mergeCell ref="DV49:DW49"/>
    <mergeCell ref="AK56:BG56"/>
    <mergeCell ref="C57:G57"/>
    <mergeCell ref="DV67:DW67"/>
    <mergeCell ref="AK72:BB72"/>
    <mergeCell ref="D77:F77"/>
    <mergeCell ref="D10:F10"/>
    <mergeCell ref="AK14:BB14"/>
    <mergeCell ref="AK25:BB25"/>
    <mergeCell ref="AK36:BG36"/>
    <mergeCell ref="C44:G44"/>
    <mergeCell ref="BI48:CE48"/>
  </mergeCells>
  <pageMargins left="0.7" right="0.7" top="0.75" bottom="0.75" header="0.3" footer="0.3"/>
  <pageSetup paperSize="8" orientation="landscape" r:id="rId1"/>
  <drawing r:id="rId2"/>
  <legacyDrawing r:id="rId3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1:AY201"/>
  <sheetViews>
    <sheetView topLeftCell="Y34" zoomScale="85" zoomScaleNormal="85" workbookViewId="0">
      <selection activeCell="Y34" sqref="Y34"/>
    </sheetView>
  </sheetViews>
  <sheetFormatPr defaultColWidth="9.140625" defaultRowHeight="15" x14ac:dyDescent="0.25"/>
  <cols>
    <col min="4" max="4" width="60.7109375" bestFit="1" customWidth="1"/>
    <col min="5" max="9" width="13.28515625" bestFit="1" customWidth="1"/>
    <col min="12" max="12" width="10.140625" bestFit="1" customWidth="1"/>
    <col min="18" max="18" width="9" customWidth="1"/>
    <col min="24" max="24" width="8.28515625" bestFit="1" customWidth="1"/>
    <col min="27" max="27" width="9.7109375" bestFit="1" customWidth="1"/>
    <col min="28" max="28" width="12.28515625" bestFit="1" customWidth="1"/>
    <col min="29" max="29" width="45.42578125" customWidth="1"/>
    <col min="30" max="30" width="14.7109375" bestFit="1" customWidth="1"/>
    <col min="31" max="31" width="40.5703125" customWidth="1"/>
    <col min="32" max="32" width="15.7109375" bestFit="1" customWidth="1"/>
    <col min="33" max="33" width="16" bestFit="1" customWidth="1"/>
    <col min="34" max="34" width="14.7109375" bestFit="1" customWidth="1"/>
    <col min="35" max="35" width="14.5703125" bestFit="1" customWidth="1"/>
    <col min="36" max="36" width="15.140625" bestFit="1" customWidth="1"/>
    <col min="37" max="40" width="16" bestFit="1" customWidth="1"/>
    <col min="41" max="42" width="15.7109375" bestFit="1" customWidth="1"/>
    <col min="43" max="43" width="16" bestFit="1" customWidth="1"/>
    <col min="44" max="44" width="18.85546875" customWidth="1"/>
    <col min="45" max="45" width="16" bestFit="1" customWidth="1"/>
    <col min="46" max="46" width="15.28515625" bestFit="1" customWidth="1"/>
    <col min="47" max="47" width="16" bestFit="1" customWidth="1"/>
    <col min="48" max="48" width="13.28515625" customWidth="1"/>
    <col min="49" max="50" width="11.28515625" customWidth="1"/>
  </cols>
  <sheetData>
    <row r="1" spans="3:47" x14ac:dyDescent="0.25">
      <c r="Z1">
        <f>Z6/V6*100-100</f>
        <v>25.672107983490136</v>
      </c>
    </row>
    <row r="2" spans="3:47" ht="15.75" thickBot="1" x14ac:dyDescent="0.3"/>
    <row r="3" spans="3:47" ht="15.75" thickBot="1" x14ac:dyDescent="0.3">
      <c r="D3" s="33" t="s">
        <v>614</v>
      </c>
      <c r="E3" s="171" t="s">
        <v>0</v>
      </c>
      <c r="F3" s="94" t="s">
        <v>1</v>
      </c>
      <c r="G3" s="94" t="s">
        <v>2</v>
      </c>
      <c r="H3" s="94" t="s">
        <v>3</v>
      </c>
      <c r="I3" s="94" t="s">
        <v>4</v>
      </c>
      <c r="J3" s="94" t="s">
        <v>5</v>
      </c>
      <c r="K3" s="94" t="s">
        <v>6</v>
      </c>
      <c r="L3" s="94" t="s">
        <v>7</v>
      </c>
      <c r="M3" s="94" t="s">
        <v>27</v>
      </c>
      <c r="N3" s="94" t="s">
        <v>9</v>
      </c>
      <c r="O3" s="94" t="s">
        <v>10</v>
      </c>
      <c r="P3" s="94" t="s">
        <v>11</v>
      </c>
      <c r="Q3" s="94" t="s">
        <v>12</v>
      </c>
      <c r="R3" s="94" t="s">
        <v>13</v>
      </c>
      <c r="S3" s="94" t="s">
        <v>14</v>
      </c>
      <c r="T3" s="94" t="s">
        <v>15</v>
      </c>
      <c r="U3" s="75" t="s">
        <v>16</v>
      </c>
      <c r="V3" s="94" t="s">
        <v>17</v>
      </c>
      <c r="W3" s="94" t="s">
        <v>18</v>
      </c>
      <c r="X3" s="94" t="s">
        <v>19</v>
      </c>
      <c r="Y3" s="94" t="s">
        <v>20</v>
      </c>
      <c r="Z3" s="172" t="s">
        <v>201</v>
      </c>
      <c r="AB3" s="94" t="str">
        <f t="shared" ref="AB3:AB15" si="0">AW68</f>
        <v>2020.III.</v>
      </c>
      <c r="AC3" s="33" t="s">
        <v>615</v>
      </c>
    </row>
    <row r="4" spans="3:47" ht="15.75" thickBot="1" x14ac:dyDescent="0.3">
      <c r="D4" s="24" t="s">
        <v>34</v>
      </c>
      <c r="E4" s="4">
        <v>9079.672337</v>
      </c>
      <c r="F4" s="5">
        <v>19249.410910999999</v>
      </c>
      <c r="G4" s="5">
        <v>52378.352803999995</v>
      </c>
      <c r="H4" s="5">
        <v>104566.23068000001</v>
      </c>
      <c r="I4" s="5">
        <v>87678.666100999995</v>
      </c>
      <c r="J4" s="5">
        <v>30437.736615000002</v>
      </c>
      <c r="K4" s="5">
        <v>17839.183648000002</v>
      </c>
      <c r="L4" s="5">
        <v>21297.092370000002</v>
      </c>
      <c r="M4" s="5">
        <v>10221</v>
      </c>
      <c r="N4" s="5">
        <v>11825</v>
      </c>
      <c r="O4" s="28">
        <v>24749</v>
      </c>
      <c r="P4" s="5">
        <v>24008</v>
      </c>
      <c r="Q4" s="5">
        <v>22078</v>
      </c>
      <c r="R4" s="5">
        <v>23128</v>
      </c>
      <c r="S4" s="5">
        <v>27122</v>
      </c>
      <c r="T4" s="5">
        <v>26738</v>
      </c>
      <c r="U4" s="28">
        <f>'[15]2019. IV. - Új hitelek'!O17</f>
        <v>27141</v>
      </c>
      <c r="V4" s="5">
        <f>'[15]2020. I. - Új hitelek'!O18</f>
        <v>17815</v>
      </c>
      <c r="W4" s="5">
        <f>'[15]2020. II. - Új hitelek'!O18</f>
        <v>25441</v>
      </c>
      <c r="X4" s="5">
        <f>'[15]2020. III. Új hitelek'!O18</f>
        <v>29467</v>
      </c>
      <c r="Y4" s="5">
        <f>'[15]2020. IV. Új hitelek'!O18</f>
        <v>29209</v>
      </c>
      <c r="Z4" s="348">
        <f>'[15]2021. I. Új hitelek'!O18</f>
        <v>19851</v>
      </c>
      <c r="AA4" s="1">
        <f>Z4-V4</f>
        <v>2036</v>
      </c>
      <c r="AB4" s="1">
        <f t="shared" si="0"/>
        <v>10857</v>
      </c>
      <c r="AC4" s="279" t="s">
        <v>34</v>
      </c>
      <c r="AE4" s="1109" t="s">
        <v>616</v>
      </c>
      <c r="AF4" s="1110"/>
      <c r="AG4" s="1110"/>
      <c r="AH4" s="1110"/>
      <c r="AI4" s="1110"/>
      <c r="AJ4" s="1110"/>
      <c r="AK4" s="1110"/>
      <c r="AL4" s="1110"/>
      <c r="AM4" s="1110"/>
      <c r="AN4" s="1110"/>
      <c r="AO4" s="1110"/>
      <c r="AP4" s="1110"/>
      <c r="AQ4" s="1110"/>
      <c r="AR4" s="1110"/>
      <c r="AS4" s="1110"/>
      <c r="AT4" s="1110"/>
      <c r="AU4" s="1111"/>
    </row>
    <row r="5" spans="3:47" ht="15.75" thickBot="1" x14ac:dyDescent="0.3">
      <c r="D5" s="25" t="s">
        <v>35</v>
      </c>
      <c r="E5" s="4">
        <v>18761.927151</v>
      </c>
      <c r="F5" s="5">
        <v>31165.228518500797</v>
      </c>
      <c r="G5" s="5">
        <v>42407.551517329499</v>
      </c>
      <c r="H5" s="5">
        <v>35345.946591720007</v>
      </c>
      <c r="I5" s="5">
        <v>23405.306195228</v>
      </c>
      <c r="J5" s="5">
        <v>40585.939244446992</v>
      </c>
      <c r="K5" s="5">
        <v>36218.763341885096</v>
      </c>
      <c r="L5" s="5">
        <v>44737.297971748398</v>
      </c>
      <c r="M5" s="5">
        <v>24750.019</v>
      </c>
      <c r="N5" s="5">
        <v>25635</v>
      </c>
      <c r="O5" s="28">
        <v>39384</v>
      </c>
      <c r="P5" s="5">
        <v>45462</v>
      </c>
      <c r="Q5" s="5">
        <v>58356</v>
      </c>
      <c r="R5" s="5">
        <v>41618</v>
      </c>
      <c r="S5" s="5">
        <v>48152</v>
      </c>
      <c r="T5" s="5">
        <v>52291</v>
      </c>
      <c r="U5" s="28">
        <f>'[15]2019. IV. - Új hitelek'!O59</f>
        <v>49767</v>
      </c>
      <c r="V5" s="5">
        <f>'[15]2020. I. - Új hitelek'!O65</f>
        <v>35971</v>
      </c>
      <c r="W5" s="5">
        <f>'[15]2020. II. - Új hitelek'!O65</f>
        <v>53485</v>
      </c>
      <c r="X5" s="5">
        <f>'[15]2020. III. Új hitelek'!O65</f>
        <v>77595</v>
      </c>
      <c r="Y5" s="5">
        <f>'[15]2020. IV. Új hitelek'!O65</f>
        <v>81851</v>
      </c>
      <c r="Z5" s="348">
        <f>'[15]2021. I. Új hitelek'!O65</f>
        <v>47743</v>
      </c>
      <c r="AA5" s="1"/>
      <c r="AB5" s="1">
        <f t="shared" si="0"/>
        <v>22237</v>
      </c>
      <c r="AC5" s="599" t="s">
        <v>35</v>
      </c>
      <c r="AE5" s="216" t="s">
        <v>617</v>
      </c>
      <c r="AF5" s="217" t="s">
        <v>235</v>
      </c>
      <c r="AG5" s="217" t="s">
        <v>236</v>
      </c>
      <c r="AH5" s="217" t="s">
        <v>237</v>
      </c>
      <c r="AI5" s="217" t="s">
        <v>238</v>
      </c>
      <c r="AJ5" s="217" t="s">
        <v>239</v>
      </c>
      <c r="AK5" s="217" t="s">
        <v>240</v>
      </c>
      <c r="AL5" s="217" t="s">
        <v>241</v>
      </c>
      <c r="AM5" s="218" t="s">
        <v>242</v>
      </c>
      <c r="AN5" s="218" t="s">
        <v>243</v>
      </c>
      <c r="AO5" s="218" t="s">
        <v>244</v>
      </c>
      <c r="AP5" s="218" t="s">
        <v>245</v>
      </c>
      <c r="AQ5" s="218" t="s">
        <v>246</v>
      </c>
      <c r="AR5" s="218" t="s">
        <v>247</v>
      </c>
      <c r="AS5" s="218" t="s">
        <v>248</v>
      </c>
      <c r="AT5" s="218" t="s">
        <v>249</v>
      </c>
      <c r="AU5" s="218" t="s">
        <v>250</v>
      </c>
    </row>
    <row r="6" spans="3:47" x14ac:dyDescent="0.25">
      <c r="D6" s="610" t="s">
        <v>36</v>
      </c>
      <c r="E6" s="524">
        <f t="shared" ref="E6:Z6" si="1">E4+E5</f>
        <v>27841.599488</v>
      </c>
      <c r="F6" s="304">
        <f t="shared" si="1"/>
        <v>50414.639429500792</v>
      </c>
      <c r="G6" s="304">
        <f t="shared" si="1"/>
        <v>94785.904321329494</v>
      </c>
      <c r="H6" s="304">
        <f t="shared" si="1"/>
        <v>139912.17727172002</v>
      </c>
      <c r="I6" s="304">
        <f t="shared" si="1"/>
        <v>111083.97229622799</v>
      </c>
      <c r="J6" s="304">
        <f t="shared" si="1"/>
        <v>71023.675859446987</v>
      </c>
      <c r="K6" s="304">
        <f t="shared" si="1"/>
        <v>54057.946989885095</v>
      </c>
      <c r="L6" s="304">
        <f t="shared" si="1"/>
        <v>66034.390341748396</v>
      </c>
      <c r="M6" s="304">
        <f t="shared" si="1"/>
        <v>34971.019</v>
      </c>
      <c r="N6" s="304">
        <f t="shared" si="1"/>
        <v>37460</v>
      </c>
      <c r="O6" s="304">
        <f t="shared" si="1"/>
        <v>64133</v>
      </c>
      <c r="P6" s="304">
        <f t="shared" si="1"/>
        <v>69470</v>
      </c>
      <c r="Q6" s="304">
        <f t="shared" si="1"/>
        <v>80434</v>
      </c>
      <c r="R6" s="304">
        <f t="shared" si="1"/>
        <v>64746</v>
      </c>
      <c r="S6" s="304">
        <f t="shared" si="1"/>
        <v>75274</v>
      </c>
      <c r="T6" s="304">
        <f t="shared" si="1"/>
        <v>79029</v>
      </c>
      <c r="U6" s="305">
        <f t="shared" si="1"/>
        <v>76908</v>
      </c>
      <c r="V6" s="305">
        <f t="shared" si="1"/>
        <v>53786</v>
      </c>
      <c r="W6" s="304">
        <f t="shared" si="1"/>
        <v>78926</v>
      </c>
      <c r="X6" s="304">
        <f t="shared" si="1"/>
        <v>107062</v>
      </c>
      <c r="Y6" s="304">
        <f t="shared" si="1"/>
        <v>111060</v>
      </c>
      <c r="Z6" s="304">
        <f t="shared" si="1"/>
        <v>67594</v>
      </c>
      <c r="AA6" s="2">
        <f>Z6/Y6*100-100</f>
        <v>-39.13740320547452</v>
      </c>
      <c r="AB6" s="32">
        <f>AB4/AB8*100</f>
        <v>32.806551036441647</v>
      </c>
      <c r="AC6" s="286" t="s">
        <v>302</v>
      </c>
      <c r="AE6" s="24" t="s">
        <v>254</v>
      </c>
      <c r="AF6" s="245">
        <f t="shared" ref="AF6:AI8" si="2">I4/E4*100-100</f>
        <v>865.65892299556003</v>
      </c>
      <c r="AG6" s="220">
        <f t="shared" si="2"/>
        <v>58.122951168373049</v>
      </c>
      <c r="AH6" s="220">
        <f t="shared" si="2"/>
        <v>-65.94168641622943</v>
      </c>
      <c r="AI6" s="220">
        <f t="shared" si="2"/>
        <v>-79.632915682717226</v>
      </c>
      <c r="AJ6" s="220">
        <f t="shared" ref="AJ6:AM8" si="3">N4/I4*100-100</f>
        <v>-86.513252851750295</v>
      </c>
      <c r="AK6" s="220">
        <f t="shared" si="3"/>
        <v>-18.689749132649169</v>
      </c>
      <c r="AL6" s="220">
        <f t="shared" si="3"/>
        <v>34.58014937074546</v>
      </c>
      <c r="AM6" s="220">
        <f t="shared" si="3"/>
        <v>3.666733544810171</v>
      </c>
      <c r="AN6" s="220">
        <f t="shared" ref="AN6:AU8" si="4">R4/N4*100-100</f>
        <v>95.585623678646925</v>
      </c>
      <c r="AO6" s="220">
        <f t="shared" si="4"/>
        <v>9.5882661925734425</v>
      </c>
      <c r="AP6" s="220">
        <f t="shared" si="4"/>
        <v>11.371209596801066</v>
      </c>
      <c r="AQ6" s="221">
        <f t="shared" si="4"/>
        <v>22.932330827067673</v>
      </c>
      <c r="AR6" s="221">
        <f t="shared" si="4"/>
        <v>-22.972154963680396</v>
      </c>
      <c r="AS6" s="221">
        <f t="shared" si="4"/>
        <v>-6.1979205073372157</v>
      </c>
      <c r="AT6" s="221">
        <f t="shared" si="4"/>
        <v>10.20644775226269</v>
      </c>
      <c r="AU6" s="221">
        <f t="shared" si="4"/>
        <v>7.6194687004900459</v>
      </c>
    </row>
    <row r="7" spans="3:47" ht="15.75" thickBot="1" x14ac:dyDescent="0.3">
      <c r="D7" s="25" t="s">
        <v>230</v>
      </c>
      <c r="E7" s="456">
        <v>0</v>
      </c>
      <c r="F7" s="14">
        <f t="shared" ref="F7:Z7" si="5">F6/E6*100-100</f>
        <v>81.076663541654625</v>
      </c>
      <c r="G7" s="14">
        <f t="shared" si="5"/>
        <v>88.012659405958715</v>
      </c>
      <c r="H7" s="14">
        <f t="shared" si="5"/>
        <v>47.60863260576167</v>
      </c>
      <c r="I7" s="14">
        <f t="shared" si="5"/>
        <v>-20.60450029271253</v>
      </c>
      <c r="J7" s="14">
        <f t="shared" si="5"/>
        <v>-36.06307517519457</v>
      </c>
      <c r="K7" s="14">
        <f t="shared" si="5"/>
        <v>-23.88742720545244</v>
      </c>
      <c r="L7" s="14">
        <f t="shared" si="5"/>
        <v>22.154824625700712</v>
      </c>
      <c r="M7" s="14">
        <f t="shared" si="5"/>
        <v>-47.041202593051658</v>
      </c>
      <c r="N7" s="14">
        <f t="shared" si="5"/>
        <v>7.1172675866265251</v>
      </c>
      <c r="O7" s="14">
        <f t="shared" si="5"/>
        <v>71.203950880939658</v>
      </c>
      <c r="P7" s="14">
        <f t="shared" si="5"/>
        <v>8.3217688241622909</v>
      </c>
      <c r="Q7" s="14">
        <f t="shared" si="5"/>
        <v>15.782352094429243</v>
      </c>
      <c r="R7" s="14">
        <f t="shared" si="5"/>
        <v>-19.50418977049506</v>
      </c>
      <c r="S7" s="14">
        <f t="shared" si="5"/>
        <v>16.260463966885979</v>
      </c>
      <c r="T7" s="14">
        <f t="shared" si="5"/>
        <v>4.9884422244068389</v>
      </c>
      <c r="U7" s="29">
        <f t="shared" si="5"/>
        <v>-2.6838249250275226</v>
      </c>
      <c r="V7" s="29">
        <f t="shared" si="5"/>
        <v>-30.064492640557546</v>
      </c>
      <c r="W7" s="14">
        <f t="shared" si="5"/>
        <v>46.740787565537488</v>
      </c>
      <c r="X7" s="14">
        <f t="shared" si="5"/>
        <v>35.648582216253203</v>
      </c>
      <c r="Y7" s="14">
        <f t="shared" si="5"/>
        <v>3.7342848069342978</v>
      </c>
      <c r="Z7" s="14">
        <f t="shared" si="5"/>
        <v>-39.13740320547452</v>
      </c>
      <c r="AA7" s="27"/>
      <c r="AB7" s="27">
        <f t="shared" si="0"/>
        <v>67.193448963558339</v>
      </c>
      <c r="AC7" s="290" t="s">
        <v>303</v>
      </c>
      <c r="AE7" s="25" t="s">
        <v>256</v>
      </c>
      <c r="AF7" s="248">
        <f t="shared" si="2"/>
        <v>24.748945067620681</v>
      </c>
      <c r="AG7" s="223">
        <f t="shared" si="2"/>
        <v>30.228274181765499</v>
      </c>
      <c r="AH7" s="223">
        <f t="shared" si="2"/>
        <v>-14.593599380325941</v>
      </c>
      <c r="AI7" s="223">
        <f t="shared" si="2"/>
        <v>26.569811493543</v>
      </c>
      <c r="AJ7" s="223">
        <f t="shared" si="3"/>
        <v>9.5264457818825719</v>
      </c>
      <c r="AK7" s="223">
        <f t="shared" si="3"/>
        <v>-2.9614671160072845</v>
      </c>
      <c r="AL7" s="223">
        <f t="shared" si="3"/>
        <v>25.520574987234838</v>
      </c>
      <c r="AM7" s="223">
        <f t="shared" si="3"/>
        <v>30.441494336228828</v>
      </c>
      <c r="AN7" s="223">
        <f t="shared" si="4"/>
        <v>62.348351862687736</v>
      </c>
      <c r="AO7" s="223">
        <f t="shared" si="4"/>
        <v>22.262847856997766</v>
      </c>
      <c r="AP7" s="223">
        <f t="shared" si="4"/>
        <v>15.021336500813874</v>
      </c>
      <c r="AQ7" s="414">
        <f t="shared" si="4"/>
        <v>-14.718280896565901</v>
      </c>
      <c r="AR7" s="414">
        <f t="shared" si="4"/>
        <v>-13.568648181075488</v>
      </c>
      <c r="AS7" s="414">
        <f t="shared" si="4"/>
        <v>11.075344741651435</v>
      </c>
      <c r="AT7" s="414">
        <f t="shared" si="4"/>
        <v>48.390736455604213</v>
      </c>
      <c r="AU7" s="414">
        <f t="shared" si="4"/>
        <v>64.46842285048325</v>
      </c>
    </row>
    <row r="8" spans="3:47" ht="15.75" thickBot="1" x14ac:dyDescent="0.3">
      <c r="D8" s="15" t="s">
        <v>37</v>
      </c>
      <c r="E8" s="458">
        <f t="shared" ref="E8:P8" si="6">E4/E6*100</f>
        <v>32.611891931400805</v>
      </c>
      <c r="F8" s="14">
        <f t="shared" si="6"/>
        <v>38.18218503361139</v>
      </c>
      <c r="G8" s="14">
        <f t="shared" si="6"/>
        <v>55.259643487110132</v>
      </c>
      <c r="H8" s="14">
        <f t="shared" si="6"/>
        <v>74.737047710239324</v>
      </c>
      <c r="I8" s="14">
        <f t="shared" si="6"/>
        <v>78.930078109906816</v>
      </c>
      <c r="J8" s="14">
        <f t="shared" si="6"/>
        <v>42.855760768050175</v>
      </c>
      <c r="K8" s="14">
        <f t="shared" si="6"/>
        <v>33.000113103329532</v>
      </c>
      <c r="L8" s="14">
        <f t="shared" si="6"/>
        <v>32.25151661093706</v>
      </c>
      <c r="M8" s="14">
        <f t="shared" si="6"/>
        <v>29.227057981924975</v>
      </c>
      <c r="N8" s="14">
        <f t="shared" si="6"/>
        <v>31.567004805125464</v>
      </c>
      <c r="O8" s="14">
        <f t="shared" si="6"/>
        <v>38.59011741225266</v>
      </c>
      <c r="P8" s="14">
        <f t="shared" si="6"/>
        <v>34.558802360731249</v>
      </c>
      <c r="Q8" s="14">
        <f>Q4/Q6*100</f>
        <v>27.448591391700027</v>
      </c>
      <c r="R8" s="14">
        <f>R4/R6*100</f>
        <v>35.721125629382513</v>
      </c>
      <c r="S8" s="14">
        <f t="shared" ref="S8:Z8" si="7">S4/S6*100</f>
        <v>36.031033291707629</v>
      </c>
      <c r="T8" s="14">
        <f t="shared" si="7"/>
        <v>33.83314985638183</v>
      </c>
      <c r="U8" s="29">
        <f t="shared" si="7"/>
        <v>35.290216882508972</v>
      </c>
      <c r="V8" s="29">
        <f t="shared" si="7"/>
        <v>33.122002007957462</v>
      </c>
      <c r="W8" s="14">
        <f t="shared" si="7"/>
        <v>32.233991333654309</v>
      </c>
      <c r="X8" s="14">
        <f t="shared" si="7"/>
        <v>27.52330425361006</v>
      </c>
      <c r="Y8" s="14">
        <f t="shared" si="7"/>
        <v>26.300198091121917</v>
      </c>
      <c r="Z8" s="14">
        <f t="shared" si="7"/>
        <v>29.367991241826196</v>
      </c>
      <c r="AA8" s="27"/>
      <c r="AB8" s="1">
        <f t="shared" si="0"/>
        <v>33094</v>
      </c>
      <c r="AC8" s="294" t="s">
        <v>618</v>
      </c>
      <c r="AE8" s="610" t="s">
        <v>36</v>
      </c>
      <c r="AF8" s="253">
        <f t="shared" si="2"/>
        <v>298.98559830984664</v>
      </c>
      <c r="AG8" s="227">
        <f t="shared" si="2"/>
        <v>40.879071363320207</v>
      </c>
      <c r="AH8" s="227">
        <f t="shared" si="2"/>
        <v>-42.968369213817226</v>
      </c>
      <c r="AI8" s="227">
        <f t="shared" si="2"/>
        <v>-52.802971385753921</v>
      </c>
      <c r="AJ8" s="227">
        <f t="shared" si="3"/>
        <v>-66.277763366162944</v>
      </c>
      <c r="AK8" s="227">
        <f t="shared" si="3"/>
        <v>-9.7019420299835843</v>
      </c>
      <c r="AL8" s="227">
        <f t="shared" si="3"/>
        <v>28.510244780473613</v>
      </c>
      <c r="AM8" s="227">
        <f t="shared" si="3"/>
        <v>21.806227912045784</v>
      </c>
      <c r="AN8" s="731">
        <f t="shared" si="4"/>
        <v>72.840363053924193</v>
      </c>
      <c r="AO8" s="731">
        <f t="shared" si="4"/>
        <v>17.371711911184562</v>
      </c>
      <c r="AP8" s="731">
        <f t="shared" si="4"/>
        <v>13.75989635814021</v>
      </c>
      <c r="AQ8" s="732">
        <f t="shared" si="4"/>
        <v>-4.3837183280702163</v>
      </c>
      <c r="AR8" s="732">
        <f t="shared" si="4"/>
        <v>-16.927686652457297</v>
      </c>
      <c r="AS8" s="732">
        <f t="shared" si="4"/>
        <v>4.851608789223377</v>
      </c>
      <c r="AT8" s="732">
        <f t="shared" si="4"/>
        <v>35.4717888370092</v>
      </c>
      <c r="AU8" s="732">
        <f t="shared" si="4"/>
        <v>44.406303635512558</v>
      </c>
    </row>
    <row r="9" spans="3:47" ht="15.75" thickBot="1" x14ac:dyDescent="0.3">
      <c r="D9" s="15" t="s">
        <v>38</v>
      </c>
      <c r="E9" s="458">
        <f t="shared" ref="E9:P9" si="8">E5/E6*100</f>
        <v>67.388108068599195</v>
      </c>
      <c r="F9" s="458">
        <f t="shared" si="8"/>
        <v>61.817814966388617</v>
      </c>
      <c r="G9" s="458">
        <f t="shared" si="8"/>
        <v>44.740356512889868</v>
      </c>
      <c r="H9" s="458">
        <f t="shared" si="8"/>
        <v>25.262952289760676</v>
      </c>
      <c r="I9" s="458">
        <f t="shared" si="8"/>
        <v>21.069921890093195</v>
      </c>
      <c r="J9" s="458">
        <f t="shared" si="8"/>
        <v>57.144239231949847</v>
      </c>
      <c r="K9" s="458">
        <f t="shared" si="8"/>
        <v>66.999886896670475</v>
      </c>
      <c r="L9" s="458">
        <f t="shared" si="8"/>
        <v>67.74848338906294</v>
      </c>
      <c r="M9" s="458">
        <f t="shared" si="8"/>
        <v>70.772942018075028</v>
      </c>
      <c r="N9" s="458">
        <f t="shared" si="8"/>
        <v>68.432995194874536</v>
      </c>
      <c r="O9" s="458">
        <f t="shared" si="8"/>
        <v>61.409882587747333</v>
      </c>
      <c r="P9" s="458">
        <f t="shared" si="8"/>
        <v>65.441197639268751</v>
      </c>
      <c r="Q9" s="458">
        <f>Q5/Q6*100</f>
        <v>72.551408608299965</v>
      </c>
      <c r="R9" s="458">
        <f>R5/R6*100</f>
        <v>64.278874370617487</v>
      </c>
      <c r="S9" s="458">
        <f t="shared" ref="S9:Z9" si="9">S5/S6*100</f>
        <v>63.968966708292371</v>
      </c>
      <c r="T9" s="458">
        <f t="shared" si="9"/>
        <v>66.166850143618163</v>
      </c>
      <c r="U9" s="29">
        <f t="shared" si="9"/>
        <v>64.709783117491028</v>
      </c>
      <c r="V9" s="29">
        <f t="shared" si="9"/>
        <v>66.877997992042538</v>
      </c>
      <c r="W9" s="14">
        <f t="shared" si="9"/>
        <v>67.766008666345684</v>
      </c>
      <c r="X9" s="14">
        <f t="shared" si="9"/>
        <v>72.476695746389936</v>
      </c>
      <c r="Y9" s="14">
        <f t="shared" si="9"/>
        <v>73.699801908878086</v>
      </c>
      <c r="Z9" s="14">
        <f t="shared" si="9"/>
        <v>70.632008758173797</v>
      </c>
      <c r="AA9" s="27"/>
      <c r="AB9" s="32">
        <f>AW74</f>
        <v>41.153738945341203</v>
      </c>
      <c r="AC9" s="448" t="s">
        <v>619</v>
      </c>
      <c r="AE9" s="3" t="s">
        <v>620</v>
      </c>
      <c r="AF9" s="217" t="s">
        <v>235</v>
      </c>
      <c r="AG9" s="217" t="s">
        <v>236</v>
      </c>
      <c r="AH9" s="217" t="s">
        <v>237</v>
      </c>
      <c r="AI9" s="217" t="s">
        <v>238</v>
      </c>
      <c r="AJ9" s="217" t="s">
        <v>239</v>
      </c>
      <c r="AK9" s="217" t="s">
        <v>240</v>
      </c>
      <c r="AL9" s="217" t="s">
        <v>241</v>
      </c>
      <c r="AM9" s="3" t="s">
        <v>242</v>
      </c>
      <c r="AN9" s="3" t="s">
        <v>243</v>
      </c>
      <c r="AO9" s="3" t="s">
        <v>244</v>
      </c>
      <c r="AP9" s="3" t="s">
        <v>245</v>
      </c>
      <c r="AQ9" s="3" t="s">
        <v>246</v>
      </c>
      <c r="AR9" s="3" t="s">
        <v>247</v>
      </c>
      <c r="AS9" s="3" t="s">
        <v>248</v>
      </c>
      <c r="AT9" s="3" t="s">
        <v>249</v>
      </c>
      <c r="AU9" s="3" t="s">
        <v>250</v>
      </c>
    </row>
    <row r="10" spans="3:47" ht="15.75" thickBot="1" x14ac:dyDescent="0.3">
      <c r="D10" s="12" t="s">
        <v>26</v>
      </c>
      <c r="E10" s="733">
        <v>62193.925311419996</v>
      </c>
      <c r="F10" s="734">
        <v>108568.87637264801</v>
      </c>
      <c r="G10" s="734">
        <v>166253.9985131085</v>
      </c>
      <c r="H10" s="734">
        <v>209161.5167353134</v>
      </c>
      <c r="I10" s="734">
        <v>149873.78583328298</v>
      </c>
      <c r="J10" s="734">
        <v>130679.75005093201</v>
      </c>
      <c r="K10" s="734">
        <v>124995.44976423301</v>
      </c>
      <c r="L10" s="734">
        <v>137371.93986225341</v>
      </c>
      <c r="M10" s="734">
        <v>75550.67300000001</v>
      </c>
      <c r="N10" s="734">
        <v>78186</v>
      </c>
      <c r="O10" s="735">
        <v>128921</v>
      </c>
      <c r="P10" s="736">
        <v>145676</v>
      </c>
      <c r="Q10" s="734">
        <v>211565</v>
      </c>
      <c r="R10" s="734">
        <v>113830</v>
      </c>
      <c r="S10" s="734">
        <v>127966</v>
      </c>
      <c r="T10" s="734">
        <v>151465</v>
      </c>
      <c r="U10" s="735">
        <f>'[15]2019. IV. - Új hitelek'!O44+'[15]2019. IV. - Új hitelek'!O75</f>
        <v>169582</v>
      </c>
      <c r="V10" s="737">
        <f>'[15]2020. I. - Új hitelek'!O105</f>
        <v>112042</v>
      </c>
      <c r="W10" s="737">
        <f>'[15]2020. II. - Új hitelek'!O105</f>
        <v>128070</v>
      </c>
      <c r="X10" s="737">
        <f>'[15]2020. III. Új hitelek'!O105</f>
        <v>224947</v>
      </c>
      <c r="Y10" s="737">
        <v>204564</v>
      </c>
      <c r="Z10" s="737">
        <v>138576</v>
      </c>
      <c r="AA10" s="2"/>
      <c r="AB10" s="1">
        <f t="shared" si="0"/>
        <v>107062</v>
      </c>
      <c r="AC10" s="452" t="s">
        <v>621</v>
      </c>
      <c r="AE10" s="24" t="s">
        <v>254</v>
      </c>
      <c r="AF10" s="231">
        <f t="shared" ref="AF10:AI11" si="10">I18/E18*100-100</f>
        <v>259.39397488490204</v>
      </c>
      <c r="AG10" s="232">
        <f t="shared" si="10"/>
        <v>41.573485201600278</v>
      </c>
      <c r="AH10" s="232">
        <f t="shared" si="10"/>
        <v>3.8760477520954879</v>
      </c>
      <c r="AI10" s="232">
        <f t="shared" si="10"/>
        <v>-62.371927479741089</v>
      </c>
      <c r="AJ10" s="232">
        <f t="shared" ref="AJ10:AM12" si="11">N18/I18*100-100</f>
        <v>-66.275385502494245</v>
      </c>
      <c r="AK10" s="232">
        <f t="shared" si="11"/>
        <v>-3.3220832365642536</v>
      </c>
      <c r="AL10" s="232">
        <f t="shared" si="11"/>
        <v>-22.79010764926258</v>
      </c>
      <c r="AM10" s="232">
        <f t="shared" si="11"/>
        <v>549.271535911667</v>
      </c>
      <c r="AN10" s="232">
        <f t="shared" ref="AN10:AU12" si="12">R18/N18*100-100</f>
        <v>135.86956521739131</v>
      </c>
      <c r="AO10" s="232">
        <f t="shared" si="12"/>
        <v>70.336391437308862</v>
      </c>
      <c r="AP10" s="232">
        <f t="shared" si="12"/>
        <v>69.097888675623807</v>
      </c>
      <c r="AQ10" s="205">
        <f t="shared" si="12"/>
        <v>-60.682414698162731</v>
      </c>
      <c r="AR10" s="205">
        <f t="shared" si="12"/>
        <v>68.894009216589865</v>
      </c>
      <c r="AS10" s="205">
        <f t="shared" si="12"/>
        <v>53.321364452423694</v>
      </c>
      <c r="AT10" s="205">
        <f>X18/T18*100-100</f>
        <v>59.250851305334862</v>
      </c>
      <c r="AU10" s="205">
        <f>Y18/U18*100-100</f>
        <v>66.889185580774381</v>
      </c>
    </row>
    <row r="11" spans="3:47" ht="15.75" thickBot="1" x14ac:dyDescent="0.3">
      <c r="D11" s="8" t="s">
        <v>30</v>
      </c>
      <c r="E11" s="9">
        <f t="shared" ref="E11:P11" si="13">E6/E10*100</f>
        <v>44.765785964771304</v>
      </c>
      <c r="F11" s="10">
        <f t="shared" si="13"/>
        <v>46.435627883316535</v>
      </c>
      <c r="G11" s="10">
        <f t="shared" si="13"/>
        <v>57.012706562877632</v>
      </c>
      <c r="H11" s="10">
        <f t="shared" si="13"/>
        <v>66.89193091326355</v>
      </c>
      <c r="I11" s="10">
        <f t="shared" si="13"/>
        <v>74.118346766655975</v>
      </c>
      <c r="J11" s="10">
        <f t="shared" si="13"/>
        <v>54.349412079351033</v>
      </c>
      <c r="K11" s="10">
        <f t="shared" si="13"/>
        <v>43.247931898200648</v>
      </c>
      <c r="L11" s="10">
        <f t="shared" si="13"/>
        <v>48.069780777619421</v>
      </c>
      <c r="M11" s="10">
        <f t="shared" si="13"/>
        <v>46.288163442303151</v>
      </c>
      <c r="N11" s="10">
        <f t="shared" si="13"/>
        <v>47.911390786074229</v>
      </c>
      <c r="O11" s="192">
        <f t="shared" si="13"/>
        <v>49.745968461305765</v>
      </c>
      <c r="P11" s="10">
        <f t="shared" si="13"/>
        <v>47.688019989565888</v>
      </c>
      <c r="Q11" s="10">
        <f>Q6/Q10*100</f>
        <v>38.018575851393187</v>
      </c>
      <c r="R11" s="10">
        <f>R6/R10*100</f>
        <v>56.879557234472458</v>
      </c>
      <c r="S11" s="10">
        <f t="shared" ref="S11:W11" si="14">S6/S10*100</f>
        <v>58.823437475579453</v>
      </c>
      <c r="T11" s="10">
        <f t="shared" si="14"/>
        <v>52.176410391839703</v>
      </c>
      <c r="U11" s="193">
        <f t="shared" si="14"/>
        <v>45.351511363234302</v>
      </c>
      <c r="V11" s="193">
        <f t="shared" si="14"/>
        <v>48.005212331090128</v>
      </c>
      <c r="W11" s="10">
        <f t="shared" si="14"/>
        <v>61.627235105801518</v>
      </c>
      <c r="X11" s="10">
        <f>X6/X10*100</f>
        <v>47.594322218122493</v>
      </c>
      <c r="Y11" s="10">
        <f>Y6/Y10*100</f>
        <v>54.291077608963455</v>
      </c>
      <c r="Z11" s="10">
        <f>Z6/Z10*100</f>
        <v>48.777566100912132</v>
      </c>
      <c r="AA11" s="27"/>
      <c r="AB11" s="32">
        <f t="shared" si="0"/>
        <v>35.648582216253203</v>
      </c>
      <c r="AC11" s="25" t="s">
        <v>622</v>
      </c>
      <c r="AE11" s="25" t="s">
        <v>256</v>
      </c>
      <c r="AF11" s="13">
        <f t="shared" si="10"/>
        <v>11.823511780713318</v>
      </c>
      <c r="AG11" s="14">
        <f t="shared" si="10"/>
        <v>2.4216614159790879</v>
      </c>
      <c r="AH11" s="14">
        <f t="shared" si="10"/>
        <v>-0.78478152213335761</v>
      </c>
      <c r="AI11" s="14">
        <f t="shared" si="10"/>
        <v>3.760146187779668</v>
      </c>
      <c r="AJ11" s="14">
        <f t="shared" si="11"/>
        <v>6.0081814888821583</v>
      </c>
      <c r="AK11" s="14">
        <f t="shared" si="11"/>
        <v>8.6705154916324432</v>
      </c>
      <c r="AL11" s="14">
        <f t="shared" si="11"/>
        <v>7.7171525956261462</v>
      </c>
      <c r="AM11" s="14">
        <f t="shared" si="11"/>
        <v>81.895358485822413</v>
      </c>
      <c r="AN11" s="14">
        <f t="shared" si="12"/>
        <v>19.999013368852061</v>
      </c>
      <c r="AO11" s="14">
        <f t="shared" si="12"/>
        <v>-19.121639440902243</v>
      </c>
      <c r="AP11" s="14">
        <f t="shared" si="12"/>
        <v>-5.4555063751073618</v>
      </c>
      <c r="AQ11" s="211">
        <f t="shared" si="12"/>
        <v>-28.864934301146832</v>
      </c>
      <c r="AR11" s="211">
        <f t="shared" si="12"/>
        <v>18.23843782117163</v>
      </c>
      <c r="AS11" s="211">
        <f t="shared" si="12"/>
        <v>-7.3731658195070509</v>
      </c>
      <c r="AT11" s="211">
        <f t="shared" si="12"/>
        <v>62.784392643523944</v>
      </c>
      <c r="AU11" s="211">
        <f t="shared" si="12"/>
        <v>0.35790046233341855</v>
      </c>
    </row>
    <row r="12" spans="3:47" ht="15.75" thickBot="1" x14ac:dyDescent="0.3">
      <c r="K12" s="1"/>
      <c r="AB12" s="32">
        <f t="shared" si="0"/>
        <v>10.140852963703274</v>
      </c>
      <c r="AC12" s="15" t="s">
        <v>623</v>
      </c>
      <c r="AE12" s="20" t="s">
        <v>44</v>
      </c>
      <c r="AF12" s="235">
        <f>J20/E20*100-100</f>
        <v>73.659491057848385</v>
      </c>
      <c r="AG12" s="236">
        <f>K20/F20*100-100</f>
        <v>21.981658608465409</v>
      </c>
      <c r="AH12" s="236">
        <f>L20/G20*100-100</f>
        <v>-0.1826614697793616</v>
      </c>
      <c r="AI12" s="236">
        <f>M20/H20*100-100</f>
        <v>-41.400662714863834</v>
      </c>
      <c r="AJ12" s="236">
        <f t="shared" si="11"/>
        <v>4.9914817484116156</v>
      </c>
      <c r="AK12" s="236">
        <f t="shared" si="11"/>
        <v>8.6025201592087228</v>
      </c>
      <c r="AL12" s="236">
        <f t="shared" si="11"/>
        <v>7.4269561509814963</v>
      </c>
      <c r="AM12" s="236">
        <f t="shared" si="11"/>
        <v>83.817640052674079</v>
      </c>
      <c r="AN12" s="236">
        <f t="shared" si="12"/>
        <v>20.522516328635263</v>
      </c>
      <c r="AO12" s="236">
        <f t="shared" si="12"/>
        <v>-18.670124097055009</v>
      </c>
      <c r="AP12" s="236">
        <f t="shared" si="12"/>
        <v>-4.9458047922735773</v>
      </c>
      <c r="AQ12" s="237">
        <f t="shared" si="12"/>
        <v>-29.327161388230095</v>
      </c>
      <c r="AR12" s="237">
        <f t="shared" si="12"/>
        <v>18.68633363214083</v>
      </c>
      <c r="AS12" s="237">
        <f t="shared" si="12"/>
        <v>-6.731572155165864</v>
      </c>
      <c r="AT12" s="237">
        <f>X20/T20*100-100</f>
        <v>62.741416679321333</v>
      </c>
      <c r="AU12" s="237">
        <f>Y20/U20*100-100</f>
        <v>0.89561257742192879</v>
      </c>
    </row>
    <row r="13" spans="3:47" x14ac:dyDescent="0.25">
      <c r="C13" t="s">
        <v>624</v>
      </c>
      <c r="K13" s="1"/>
      <c r="W13" s="2"/>
      <c r="Y13" s="86">
        <v>204.56399999999999</v>
      </c>
      <c r="Z13" s="86">
        <v>138.57599999999999</v>
      </c>
      <c r="AB13" s="32">
        <f t="shared" si="0"/>
        <v>20.77020791690796</v>
      </c>
      <c r="AC13" s="15" t="s">
        <v>625</v>
      </c>
    </row>
    <row r="14" spans="3:47" ht="15.75" thickBot="1" x14ac:dyDescent="0.3">
      <c r="K14" s="1"/>
      <c r="Z14">
        <f>Z10/Y10*100-100</f>
        <v>-32.257875285974066</v>
      </c>
      <c r="AB14" s="1">
        <f t="shared" si="0"/>
        <v>224947</v>
      </c>
      <c r="AC14" s="325" t="s">
        <v>626</v>
      </c>
    </row>
    <row r="15" spans="3:47" ht="15.75" thickBot="1" x14ac:dyDescent="0.3">
      <c r="C15" t="s">
        <v>627</v>
      </c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T15" s="32"/>
      <c r="Z15">
        <f>Z10/V10*100-100</f>
        <v>23.682190607093773</v>
      </c>
      <c r="AB15" s="32">
        <f t="shared" si="0"/>
        <v>30.911060880611235</v>
      </c>
      <c r="AC15" s="336" t="s">
        <v>628</v>
      </c>
    </row>
    <row r="16" spans="3:47" ht="15.75" thickBot="1" x14ac:dyDescent="0.3">
      <c r="AB16" s="32"/>
      <c r="AE16" s="1109" t="s">
        <v>629</v>
      </c>
      <c r="AF16" s="1110"/>
      <c r="AG16" s="1110"/>
      <c r="AH16" s="1110"/>
      <c r="AI16" s="1110"/>
      <c r="AJ16" s="1110"/>
      <c r="AK16" s="1110"/>
      <c r="AL16" s="1110"/>
      <c r="AM16" s="1110"/>
      <c r="AN16" s="1110"/>
      <c r="AO16" s="1110"/>
      <c r="AP16" s="1110"/>
      <c r="AQ16" s="1110"/>
      <c r="AR16" s="1110"/>
      <c r="AS16" s="1110"/>
      <c r="AT16" s="1110"/>
      <c r="AU16" s="1111"/>
    </row>
    <row r="17" spans="3:49" ht="15.75" thickBot="1" x14ac:dyDescent="0.3">
      <c r="D17" s="3" t="s">
        <v>630</v>
      </c>
      <c r="E17" s="95" t="s">
        <v>0</v>
      </c>
      <c r="F17" s="94" t="s">
        <v>1</v>
      </c>
      <c r="G17" s="94" t="s">
        <v>2</v>
      </c>
      <c r="H17" s="94" t="s">
        <v>3</v>
      </c>
      <c r="I17" s="94" t="s">
        <v>4</v>
      </c>
      <c r="J17" s="94" t="s">
        <v>5</v>
      </c>
      <c r="K17" s="94" t="s">
        <v>6</v>
      </c>
      <c r="L17" s="94" t="s">
        <v>7</v>
      </c>
      <c r="M17" s="94" t="s">
        <v>27</v>
      </c>
      <c r="N17" s="94" t="s">
        <v>9</v>
      </c>
      <c r="O17" s="94" t="s">
        <v>10</v>
      </c>
      <c r="P17" s="94" t="s">
        <v>11</v>
      </c>
      <c r="Q17" s="94" t="s">
        <v>12</v>
      </c>
      <c r="R17" s="94" t="s">
        <v>13</v>
      </c>
      <c r="S17" s="94" t="s">
        <v>14</v>
      </c>
      <c r="T17" s="94" t="s">
        <v>15</v>
      </c>
      <c r="U17" s="94" t="s">
        <v>16</v>
      </c>
      <c r="V17" s="95" t="s">
        <v>17</v>
      </c>
      <c r="W17" s="95" t="s">
        <v>18</v>
      </c>
      <c r="X17" s="94" t="s">
        <v>19</v>
      </c>
      <c r="Y17" s="94" t="s">
        <v>20</v>
      </c>
      <c r="Z17" s="172" t="s">
        <v>201</v>
      </c>
      <c r="AB17" s="94" t="s">
        <v>19</v>
      </c>
      <c r="AC17" s="525" t="s">
        <v>631</v>
      </c>
      <c r="AE17" s="216" t="s">
        <v>632</v>
      </c>
      <c r="AF17" s="217" t="s">
        <v>269</v>
      </c>
      <c r="AG17" s="217" t="s">
        <v>270</v>
      </c>
      <c r="AH17" s="217" t="s">
        <v>271</v>
      </c>
      <c r="AI17" s="217" t="s">
        <v>272</v>
      </c>
      <c r="AJ17" s="217" t="s">
        <v>273</v>
      </c>
      <c r="AK17" s="217" t="s">
        <v>274</v>
      </c>
      <c r="AL17" s="217" t="s">
        <v>275</v>
      </c>
      <c r="AM17" s="217" t="s">
        <v>276</v>
      </c>
      <c r="AN17" s="218" t="s">
        <v>277</v>
      </c>
      <c r="AO17" s="218" t="s">
        <v>278</v>
      </c>
      <c r="AP17" s="218" t="s">
        <v>279</v>
      </c>
      <c r="AQ17" s="218" t="s">
        <v>280</v>
      </c>
      <c r="AR17" s="218" t="s">
        <v>340</v>
      </c>
      <c r="AS17" s="218" t="s">
        <v>281</v>
      </c>
      <c r="AT17" s="218" t="s">
        <v>282</v>
      </c>
      <c r="AU17" s="218" t="s">
        <v>283</v>
      </c>
    </row>
    <row r="18" spans="3:49" x14ac:dyDescent="0.25">
      <c r="D18" s="23" t="s">
        <v>34</v>
      </c>
      <c r="E18" s="585">
        <v>151.80988000000002</v>
      </c>
      <c r="F18" s="5">
        <v>238.91232000000002</v>
      </c>
      <c r="G18" s="5">
        <v>649.60500000000002</v>
      </c>
      <c r="H18" s="5">
        <v>779.75226300000008</v>
      </c>
      <c r="I18" s="5">
        <v>545.59556199999997</v>
      </c>
      <c r="J18" s="5">
        <v>338.23649799999998</v>
      </c>
      <c r="K18" s="5">
        <v>674.78399999999999</v>
      </c>
      <c r="L18" s="5">
        <v>293.40574700000002</v>
      </c>
      <c r="M18" s="5">
        <v>174</v>
      </c>
      <c r="N18" s="5">
        <v>184</v>
      </c>
      <c r="O18" s="28">
        <v>327</v>
      </c>
      <c r="P18" s="5">
        <v>521</v>
      </c>
      <c r="Q18" s="5">
        <v>1905</v>
      </c>
      <c r="R18" s="5">
        <v>434</v>
      </c>
      <c r="S18" s="5">
        <v>557</v>
      </c>
      <c r="T18" s="5">
        <v>881</v>
      </c>
      <c r="U18" s="5">
        <f>'[15]2019. IV. - Új hitelek'!O32</f>
        <v>749</v>
      </c>
      <c r="V18" s="585">
        <f>'[15]2020. I. - Új hitelek'!O34</f>
        <v>733</v>
      </c>
      <c r="W18" s="585">
        <f>'[15]2020. II. - Új hitelek'!O34</f>
        <v>854</v>
      </c>
      <c r="X18" s="5">
        <f>'[15]2020. III. Új hitelek'!O34</f>
        <v>1403</v>
      </c>
      <c r="Y18" s="5">
        <f>'[15]2020. IV. Új hitelek'!O34</f>
        <v>1250</v>
      </c>
      <c r="Z18" s="348">
        <f>'[15]2021. I. Új hitelek'!O34</f>
        <v>1022</v>
      </c>
      <c r="AA18" s="1"/>
      <c r="AB18" s="1">
        <v>86</v>
      </c>
      <c r="AC18" s="279" t="s">
        <v>34</v>
      </c>
      <c r="AE18" s="24" t="s">
        <v>254</v>
      </c>
      <c r="AF18" s="245">
        <f t="shared" ref="AF18:AI20" si="15">I4/H4*100-100</f>
        <v>-16.15011315716292</v>
      </c>
      <c r="AG18" s="220">
        <f t="shared" si="15"/>
        <v>-65.284900000716533</v>
      </c>
      <c r="AH18" s="220">
        <f t="shared" si="15"/>
        <v>-41.391228021834301</v>
      </c>
      <c r="AI18" s="220">
        <f t="shared" si="15"/>
        <v>19.383783418742226</v>
      </c>
      <c r="AJ18" s="220">
        <f t="shared" ref="AJ18:AM20" si="16">N4/L4*100-100</f>
        <v>-44.475988578341315</v>
      </c>
      <c r="AK18" s="220">
        <f t="shared" si="16"/>
        <v>142.13873397906269</v>
      </c>
      <c r="AL18" s="220">
        <f t="shared" si="16"/>
        <v>103.02748414376319</v>
      </c>
      <c r="AM18" s="220">
        <f t="shared" si="16"/>
        <v>-10.792355246676635</v>
      </c>
      <c r="AN18" s="220">
        <f t="shared" ref="AN18:AU20" si="17">R4/N4*100-100</f>
        <v>95.585623678646925</v>
      </c>
      <c r="AO18" s="220">
        <f t="shared" si="17"/>
        <v>9.5882661925734425</v>
      </c>
      <c r="AP18" s="220">
        <f t="shared" si="17"/>
        <v>11.371209596801066</v>
      </c>
      <c r="AQ18" s="221">
        <f t="shared" si="17"/>
        <v>22.932330827067673</v>
      </c>
      <c r="AR18" s="221">
        <f t="shared" si="17"/>
        <v>-22.972154963680396</v>
      </c>
      <c r="AS18" s="221">
        <f t="shared" si="17"/>
        <v>-6.1979205073372157</v>
      </c>
      <c r="AT18" s="221">
        <f t="shared" si="17"/>
        <v>10.20644775226269</v>
      </c>
      <c r="AU18" s="221">
        <f t="shared" si="17"/>
        <v>7.6194687004900459</v>
      </c>
    </row>
    <row r="19" spans="3:49" ht="15.75" thickBot="1" x14ac:dyDescent="0.3">
      <c r="D19" s="19" t="s">
        <v>43</v>
      </c>
      <c r="E19" s="585">
        <v>34200.515943419996</v>
      </c>
      <c r="F19" s="5">
        <v>57915.324623147208</v>
      </c>
      <c r="G19" s="5">
        <v>70818.489191778994</v>
      </c>
      <c r="H19" s="5">
        <v>68469.587200593407</v>
      </c>
      <c r="I19" s="5">
        <v>38244.217975054999</v>
      </c>
      <c r="J19" s="5">
        <v>59317.837693484995</v>
      </c>
      <c r="K19" s="5">
        <v>70262.718774347901</v>
      </c>
      <c r="L19" s="5">
        <v>71044.143773504999</v>
      </c>
      <c r="M19" s="5">
        <v>40405.654000000002</v>
      </c>
      <c r="N19" s="5">
        <v>40542</v>
      </c>
      <c r="O19" s="28">
        <v>64461</v>
      </c>
      <c r="P19" s="5">
        <v>75685</v>
      </c>
      <c r="Q19" s="5">
        <v>129226</v>
      </c>
      <c r="R19" s="5">
        <v>48650</v>
      </c>
      <c r="S19" s="5">
        <v>52135</v>
      </c>
      <c r="T19" s="5">
        <v>71556</v>
      </c>
      <c r="U19" s="5">
        <f>'[15]2019. IV. - Új hitelek'!O74</f>
        <v>91925</v>
      </c>
      <c r="V19" s="585">
        <f>'[15]2020. I. - Új hitelek'!O81</f>
        <v>57523</v>
      </c>
      <c r="W19" s="585">
        <f>'[15]2020. II. - Új hitelek'!O81</f>
        <v>48291</v>
      </c>
      <c r="X19" s="5">
        <f>'[15]2020. III. Új hitelek'!O81</f>
        <v>116482</v>
      </c>
      <c r="Y19" s="5">
        <f>'[15]2020. IV. Új hitelek'!O81</f>
        <v>92254</v>
      </c>
      <c r="Z19" s="348">
        <f>'[15]2021. I. Új hitelek'!O81</f>
        <v>69960</v>
      </c>
      <c r="AA19" s="1"/>
      <c r="AB19" s="1">
        <v>8081</v>
      </c>
      <c r="AC19" s="361" t="s">
        <v>35</v>
      </c>
      <c r="AE19" s="25" t="s">
        <v>256</v>
      </c>
      <c r="AF19" s="248">
        <f t="shared" si="15"/>
        <v>-33.782205734699915</v>
      </c>
      <c r="AG19" s="223">
        <f t="shared" si="15"/>
        <v>73.40486343529173</v>
      </c>
      <c r="AH19" s="223">
        <f t="shared" si="15"/>
        <v>-10.76031744949556</v>
      </c>
      <c r="AI19" s="223">
        <f t="shared" si="15"/>
        <v>23.51967279902145</v>
      </c>
      <c r="AJ19" s="223">
        <f t="shared" si="16"/>
        <v>-42.698819190670612</v>
      </c>
      <c r="AK19" s="223">
        <f t="shared" si="16"/>
        <v>59.127150569056141</v>
      </c>
      <c r="AL19" s="223">
        <f t="shared" si="16"/>
        <v>77.343475716793449</v>
      </c>
      <c r="AM19" s="223">
        <f t="shared" si="16"/>
        <v>48.171846435100548</v>
      </c>
      <c r="AN19" s="223">
        <f t="shared" si="17"/>
        <v>62.348351862687736</v>
      </c>
      <c r="AO19" s="223">
        <f t="shared" si="17"/>
        <v>22.262847856997766</v>
      </c>
      <c r="AP19" s="223">
        <f t="shared" si="17"/>
        <v>15.021336500813874</v>
      </c>
      <c r="AQ19" s="414">
        <f t="shared" si="17"/>
        <v>-14.718280896565901</v>
      </c>
      <c r="AR19" s="414">
        <f t="shared" si="17"/>
        <v>-13.568648181075488</v>
      </c>
      <c r="AS19" s="414">
        <f t="shared" si="17"/>
        <v>11.075344741651435</v>
      </c>
      <c r="AT19" s="414">
        <f t="shared" si="17"/>
        <v>48.390736455604213</v>
      </c>
      <c r="AU19" s="414">
        <f t="shared" si="17"/>
        <v>64.46842285048325</v>
      </c>
    </row>
    <row r="20" spans="3:49" ht="15.75" thickBot="1" x14ac:dyDescent="0.3">
      <c r="D20" s="20" t="s">
        <v>44</v>
      </c>
      <c r="E20" s="453">
        <f>E18+E19</f>
        <v>34352.325823419997</v>
      </c>
      <c r="F20" s="304">
        <f t="shared" ref="F20:Z20" si="18">F18+F19</f>
        <v>58154.236943147211</v>
      </c>
      <c r="G20" s="304">
        <f t="shared" si="18"/>
        <v>71468.09419177899</v>
      </c>
      <c r="H20" s="304">
        <f t="shared" si="18"/>
        <v>69249.339463593409</v>
      </c>
      <c r="I20" s="304">
        <f t="shared" si="18"/>
        <v>38789.813537055001</v>
      </c>
      <c r="J20" s="304">
        <f t="shared" si="18"/>
        <v>59656.074191484993</v>
      </c>
      <c r="K20" s="304">
        <f t="shared" si="18"/>
        <v>70937.5027743479</v>
      </c>
      <c r="L20" s="304">
        <f t="shared" si="18"/>
        <v>71337.549520504996</v>
      </c>
      <c r="M20" s="304">
        <f t="shared" si="18"/>
        <v>40579.654000000002</v>
      </c>
      <c r="N20" s="304">
        <f t="shared" si="18"/>
        <v>40726</v>
      </c>
      <c r="O20" s="305">
        <f t="shared" si="18"/>
        <v>64788</v>
      </c>
      <c r="P20" s="304">
        <f t="shared" si="18"/>
        <v>76206</v>
      </c>
      <c r="Q20" s="304">
        <f t="shared" si="18"/>
        <v>131131</v>
      </c>
      <c r="R20" s="304">
        <f t="shared" si="18"/>
        <v>49084</v>
      </c>
      <c r="S20" s="304">
        <f t="shared" si="18"/>
        <v>52692</v>
      </c>
      <c r="T20" s="304">
        <f t="shared" si="18"/>
        <v>72437</v>
      </c>
      <c r="U20" s="304">
        <f t="shared" si="18"/>
        <v>92674</v>
      </c>
      <c r="V20" s="304">
        <f t="shared" si="18"/>
        <v>58256</v>
      </c>
      <c r="W20" s="304">
        <f t="shared" si="18"/>
        <v>49145</v>
      </c>
      <c r="X20" s="304">
        <f t="shared" si="18"/>
        <v>117885</v>
      </c>
      <c r="Y20" s="304">
        <f t="shared" si="18"/>
        <v>93504</v>
      </c>
      <c r="Z20" s="304">
        <f t="shared" si="18"/>
        <v>70982</v>
      </c>
      <c r="AA20" s="32"/>
      <c r="AB20" s="32">
        <v>1.0530182441532998</v>
      </c>
      <c r="AC20" s="363" t="s">
        <v>302</v>
      </c>
      <c r="AE20" s="610" t="s">
        <v>36</v>
      </c>
      <c r="AF20" s="253">
        <f t="shared" si="15"/>
        <v>-20.60450029271253</v>
      </c>
      <c r="AG20" s="227">
        <f t="shared" si="15"/>
        <v>-36.06307517519457</v>
      </c>
      <c r="AH20" s="227">
        <f t="shared" si="15"/>
        <v>-23.88742720545244</v>
      </c>
      <c r="AI20" s="227">
        <f t="shared" si="15"/>
        <v>22.154824625700712</v>
      </c>
      <c r="AJ20" s="227">
        <f t="shared" si="16"/>
        <v>-43.271983270939721</v>
      </c>
      <c r="AK20" s="227">
        <f t="shared" si="16"/>
        <v>83.388994184012773</v>
      </c>
      <c r="AL20" s="227">
        <f t="shared" si="16"/>
        <v>85.451147891083821</v>
      </c>
      <c r="AM20" s="227">
        <f t="shared" si="16"/>
        <v>25.417491774905272</v>
      </c>
      <c r="AN20" s="227">
        <f t="shared" si="17"/>
        <v>72.840363053924193</v>
      </c>
      <c r="AO20" s="227">
        <f t="shared" si="17"/>
        <v>17.371711911184562</v>
      </c>
      <c r="AP20" s="227">
        <f t="shared" si="17"/>
        <v>13.75989635814021</v>
      </c>
      <c r="AQ20" s="228">
        <f t="shared" si="17"/>
        <v>-4.3837183280702163</v>
      </c>
      <c r="AR20" s="228">
        <f t="shared" si="17"/>
        <v>-16.927686652457297</v>
      </c>
      <c r="AS20" s="228">
        <f t="shared" si="17"/>
        <v>4.851608789223377</v>
      </c>
      <c r="AT20" s="228">
        <f t="shared" si="17"/>
        <v>35.4717888370092</v>
      </c>
      <c r="AU20" s="228">
        <f t="shared" si="17"/>
        <v>44.406303635512558</v>
      </c>
    </row>
    <row r="21" spans="3:49" ht="15.75" thickBot="1" x14ac:dyDescent="0.3">
      <c r="D21" s="25" t="s">
        <v>267</v>
      </c>
      <c r="E21" s="456">
        <v>0</v>
      </c>
      <c r="F21" s="14">
        <f t="shared" ref="F21:Z21" si="19">F20/E20*100-100</f>
        <v>69.287626235484936</v>
      </c>
      <c r="G21" s="14">
        <f t="shared" si="19"/>
        <v>22.894045126321032</v>
      </c>
      <c r="H21" s="14">
        <f t="shared" si="19"/>
        <v>-3.1045388201226274</v>
      </c>
      <c r="I21" s="14">
        <f t="shared" si="19"/>
        <v>-43.985294534905925</v>
      </c>
      <c r="J21" s="14">
        <f t="shared" si="19"/>
        <v>53.793145034061439</v>
      </c>
      <c r="K21" s="14">
        <f t="shared" si="19"/>
        <v>18.910779389625262</v>
      </c>
      <c r="L21" s="14">
        <f t="shared" si="19"/>
        <v>0.56394252759311314</v>
      </c>
      <c r="M21" s="14">
        <f t="shared" si="19"/>
        <v>-43.115996732778243</v>
      </c>
      <c r="N21" s="14">
        <f t="shared" si="19"/>
        <v>0.36063885611245894</v>
      </c>
      <c r="O21" s="14">
        <f t="shared" si="19"/>
        <v>59.082649904238082</v>
      </c>
      <c r="P21" s="14">
        <f t="shared" si="19"/>
        <v>17.623634006297479</v>
      </c>
      <c r="Q21" s="14">
        <f t="shared" si="19"/>
        <v>72.074377345615829</v>
      </c>
      <c r="R21" s="14">
        <f t="shared" si="19"/>
        <v>-62.568728980942723</v>
      </c>
      <c r="S21" s="14">
        <f t="shared" si="19"/>
        <v>7.3506641675494961</v>
      </c>
      <c r="T21" s="14">
        <f t="shared" si="19"/>
        <v>37.472481591133402</v>
      </c>
      <c r="U21" s="14">
        <f t="shared" si="19"/>
        <v>27.9373800681972</v>
      </c>
      <c r="V21" s="14">
        <f t="shared" si="19"/>
        <v>-37.138787577961452</v>
      </c>
      <c r="W21" s="14">
        <f t="shared" si="19"/>
        <v>-15.639590771765995</v>
      </c>
      <c r="X21" s="14">
        <f t="shared" si="19"/>
        <v>139.87180791535252</v>
      </c>
      <c r="Y21" s="14">
        <f t="shared" si="19"/>
        <v>-20.682020613309575</v>
      </c>
      <c r="Z21" s="14">
        <f t="shared" si="19"/>
        <v>-24.086670088980156</v>
      </c>
      <c r="AA21" s="27"/>
      <c r="AB21" s="27">
        <v>98.946981755846693</v>
      </c>
      <c r="AC21" s="364" t="s">
        <v>303</v>
      </c>
      <c r="AE21" s="3" t="s">
        <v>633</v>
      </c>
      <c r="AF21" s="257" t="s">
        <v>269</v>
      </c>
      <c r="AG21" s="257" t="s">
        <v>270</v>
      </c>
      <c r="AH21" s="257" t="s">
        <v>271</v>
      </c>
      <c r="AI21" s="257" t="s">
        <v>272</v>
      </c>
      <c r="AJ21" s="257" t="s">
        <v>273</v>
      </c>
      <c r="AK21" s="257" t="s">
        <v>274</v>
      </c>
      <c r="AL21" s="257" t="s">
        <v>275</v>
      </c>
      <c r="AM21" s="257" t="s">
        <v>276</v>
      </c>
      <c r="AN21" s="3" t="s">
        <v>277</v>
      </c>
      <c r="AO21" s="3" t="s">
        <v>278</v>
      </c>
      <c r="AP21" s="3" t="s">
        <v>279</v>
      </c>
      <c r="AQ21" s="3" t="s">
        <v>280</v>
      </c>
      <c r="AR21" s="3" t="s">
        <v>340</v>
      </c>
      <c r="AS21" s="3" t="s">
        <v>281</v>
      </c>
      <c r="AT21" s="3" t="s">
        <v>282</v>
      </c>
      <c r="AU21" s="3" t="s">
        <v>283</v>
      </c>
    </row>
    <row r="22" spans="3:49" x14ac:dyDescent="0.25">
      <c r="D22" s="15" t="s">
        <v>45</v>
      </c>
      <c r="E22" s="13">
        <f t="shared" ref="E22:P22" si="20">E18/E20*100</f>
        <v>0.44192023789114837</v>
      </c>
      <c r="F22" s="14">
        <f t="shared" si="20"/>
        <v>0.41082530277813756</v>
      </c>
      <c r="G22" s="14">
        <f t="shared" si="20"/>
        <v>0.90894406426570762</v>
      </c>
      <c r="H22" s="14">
        <f t="shared" si="20"/>
        <v>1.1260067879924556</v>
      </c>
      <c r="I22" s="14">
        <f t="shared" si="20"/>
        <v>1.4065433995417516</v>
      </c>
      <c r="J22" s="458">
        <f t="shared" si="20"/>
        <v>0.56697746639231272</v>
      </c>
      <c r="K22" s="14">
        <f t="shared" si="20"/>
        <v>0.95123731962554003</v>
      </c>
      <c r="L22" s="14">
        <f t="shared" si="20"/>
        <v>0.41129215815811637</v>
      </c>
      <c r="M22" s="14">
        <f t="shared" si="20"/>
        <v>0.42878630754219832</v>
      </c>
      <c r="N22" s="14">
        <f t="shared" si="20"/>
        <v>0.45179983303049653</v>
      </c>
      <c r="O22" s="14">
        <f t="shared" si="20"/>
        <v>0.50472309686979078</v>
      </c>
      <c r="P22" s="14">
        <f t="shared" si="20"/>
        <v>0.68367320158517708</v>
      </c>
      <c r="Q22" s="14">
        <f>Q18/Q20*100</f>
        <v>1.4527457275548878</v>
      </c>
      <c r="R22" s="14">
        <f>R18/R20*100</f>
        <v>0.88419851682829431</v>
      </c>
      <c r="S22" s="14">
        <f t="shared" ref="S22:Z22" si="21">S18/S20*100</f>
        <v>1.0570864647384803</v>
      </c>
      <c r="T22" s="14">
        <f t="shared" si="21"/>
        <v>1.2162292750942196</v>
      </c>
      <c r="U22" s="14">
        <f t="shared" si="21"/>
        <v>0.80820942227593506</v>
      </c>
      <c r="V22" s="14">
        <f t="shared" si="21"/>
        <v>1.2582394946443285</v>
      </c>
      <c r="W22" s="14">
        <f t="shared" si="21"/>
        <v>1.7377149252212838</v>
      </c>
      <c r="X22" s="14">
        <f t="shared" si="21"/>
        <v>1.1901429359121176</v>
      </c>
      <c r="Y22" s="14">
        <f t="shared" si="21"/>
        <v>1.3368412046543463</v>
      </c>
      <c r="Z22" s="14">
        <f t="shared" si="21"/>
        <v>1.439801639852357</v>
      </c>
      <c r="AA22" s="1"/>
      <c r="AB22" s="1">
        <v>8167</v>
      </c>
      <c r="AC22" s="345" t="s">
        <v>634</v>
      </c>
      <c r="AE22" s="24" t="s">
        <v>254</v>
      </c>
      <c r="AF22" s="245">
        <f t="shared" ref="AF22:AI24" si="22">I18/H18*100-100</f>
        <v>-30.029627628025253</v>
      </c>
      <c r="AG22" s="220">
        <f t="shared" si="22"/>
        <v>-38.006002695454477</v>
      </c>
      <c r="AH22" s="220">
        <f t="shared" si="22"/>
        <v>99.500646438220883</v>
      </c>
      <c r="AI22" s="220">
        <f t="shared" si="22"/>
        <v>-56.518567867643569</v>
      </c>
      <c r="AJ22" s="220">
        <f t="shared" ref="AJ22:AM24" si="23">N18/I18*100-100</f>
        <v>-66.275385502494245</v>
      </c>
      <c r="AK22" s="220">
        <f t="shared" si="23"/>
        <v>-3.3220832365642536</v>
      </c>
      <c r="AL22" s="220">
        <f t="shared" si="23"/>
        <v>-22.79010764926258</v>
      </c>
      <c r="AM22" s="220">
        <f t="shared" si="23"/>
        <v>549.271535911667</v>
      </c>
      <c r="AN22" s="220">
        <f t="shared" ref="AN22:AU24" si="24">R18/N18*100-100</f>
        <v>135.86956521739131</v>
      </c>
      <c r="AO22" s="220">
        <f t="shared" si="24"/>
        <v>70.336391437308862</v>
      </c>
      <c r="AP22" s="220">
        <f t="shared" si="24"/>
        <v>69.097888675623807</v>
      </c>
      <c r="AQ22" s="221">
        <f t="shared" si="24"/>
        <v>-60.682414698162731</v>
      </c>
      <c r="AR22" s="221">
        <f t="shared" si="24"/>
        <v>68.894009216589865</v>
      </c>
      <c r="AS22" s="221">
        <f t="shared" si="24"/>
        <v>53.321364452423694</v>
      </c>
      <c r="AT22" s="221">
        <f t="shared" si="24"/>
        <v>59.250851305334862</v>
      </c>
      <c r="AU22" s="221">
        <f t="shared" si="24"/>
        <v>66.889185580774381</v>
      </c>
    </row>
    <row r="23" spans="3:49" x14ac:dyDescent="0.25">
      <c r="D23" s="15" t="s">
        <v>46</v>
      </c>
      <c r="E23" s="13">
        <f t="shared" ref="E23:P23" si="25">E19/E20*100</f>
        <v>99.558079762108846</v>
      </c>
      <c r="F23" s="14">
        <f t="shared" si="25"/>
        <v>99.589174697221864</v>
      </c>
      <c r="G23" s="14">
        <f t="shared" si="25"/>
        <v>99.091055935734289</v>
      </c>
      <c r="H23" s="14">
        <f t="shared" si="25"/>
        <v>98.873993212007534</v>
      </c>
      <c r="I23" s="14">
        <f t="shared" si="25"/>
        <v>98.593456600458239</v>
      </c>
      <c r="J23" s="458">
        <f t="shared" si="25"/>
        <v>99.433022533607684</v>
      </c>
      <c r="K23" s="14">
        <f t="shared" si="25"/>
        <v>99.048762680374452</v>
      </c>
      <c r="L23" s="14">
        <f t="shared" si="25"/>
        <v>99.588707841841881</v>
      </c>
      <c r="M23" s="14">
        <f t="shared" si="25"/>
        <v>99.571213692457803</v>
      </c>
      <c r="N23" s="14">
        <f t="shared" si="25"/>
        <v>99.548200166969508</v>
      </c>
      <c r="O23" s="14">
        <f t="shared" si="25"/>
        <v>99.495276903130218</v>
      </c>
      <c r="P23" s="14">
        <f t="shared" si="25"/>
        <v>99.316326798414821</v>
      </c>
      <c r="Q23" s="14">
        <f>Q19/Q20*100</f>
        <v>98.547254272445116</v>
      </c>
      <c r="R23" s="14">
        <f>R19/R20*100</f>
        <v>99.115801483171708</v>
      </c>
      <c r="S23" s="14">
        <f t="shared" ref="S23:Z23" si="26">S19/S20*100</f>
        <v>98.942913535261525</v>
      </c>
      <c r="T23" s="14">
        <f t="shared" si="26"/>
        <v>98.783770724905779</v>
      </c>
      <c r="U23" s="14">
        <f t="shared" si="26"/>
        <v>99.191790577724078</v>
      </c>
      <c r="V23" s="14">
        <f t="shared" si="26"/>
        <v>98.741760505355671</v>
      </c>
      <c r="W23" s="14">
        <f t="shared" si="26"/>
        <v>98.262285074778717</v>
      </c>
      <c r="X23" s="14">
        <f t="shared" si="26"/>
        <v>98.809857064087879</v>
      </c>
      <c r="Y23" s="14">
        <f t="shared" si="26"/>
        <v>98.663158795345652</v>
      </c>
      <c r="Z23" s="14">
        <f t="shared" si="26"/>
        <v>98.560198360147638</v>
      </c>
      <c r="AA23" s="32"/>
      <c r="AB23" s="32">
        <v>6.9279382448996909</v>
      </c>
      <c r="AC23" s="380" t="s">
        <v>635</v>
      </c>
      <c r="AE23" s="25" t="s">
        <v>256</v>
      </c>
      <c r="AF23" s="248">
        <f t="shared" si="22"/>
        <v>-44.144225869199417</v>
      </c>
      <c r="AG23" s="223">
        <f t="shared" si="22"/>
        <v>55.102760192862036</v>
      </c>
      <c r="AH23" s="223">
        <f t="shared" si="22"/>
        <v>18.451247561346975</v>
      </c>
      <c r="AI23" s="223">
        <f t="shared" si="22"/>
        <v>1.1121473987744253</v>
      </c>
      <c r="AJ23" s="223">
        <f t="shared" si="23"/>
        <v>6.0081814888821583</v>
      </c>
      <c r="AK23" s="223">
        <f t="shared" si="23"/>
        <v>8.6705154916324432</v>
      </c>
      <c r="AL23" s="223">
        <f t="shared" si="23"/>
        <v>7.7171525956261462</v>
      </c>
      <c r="AM23" s="223">
        <f t="shared" si="23"/>
        <v>81.895358485822413</v>
      </c>
      <c r="AN23" s="223">
        <f t="shared" si="24"/>
        <v>19.999013368852061</v>
      </c>
      <c r="AO23" s="223">
        <f t="shared" si="24"/>
        <v>-19.121639440902243</v>
      </c>
      <c r="AP23" s="223">
        <f t="shared" si="24"/>
        <v>-5.4555063751073618</v>
      </c>
      <c r="AQ23" s="414">
        <f t="shared" si="24"/>
        <v>-28.864934301146832</v>
      </c>
      <c r="AR23" s="414">
        <f t="shared" si="24"/>
        <v>18.23843782117163</v>
      </c>
      <c r="AS23" s="414">
        <f t="shared" si="24"/>
        <v>-7.3731658195070509</v>
      </c>
      <c r="AT23" s="414">
        <f t="shared" si="24"/>
        <v>62.784392643523944</v>
      </c>
      <c r="AU23" s="414">
        <f t="shared" si="24"/>
        <v>0.35790046233341855</v>
      </c>
    </row>
    <row r="24" spans="3:49" ht="15.75" thickBot="1" x14ac:dyDescent="0.3">
      <c r="D24" s="21" t="s">
        <v>26</v>
      </c>
      <c r="E24" s="738">
        <v>62193.925311419996</v>
      </c>
      <c r="F24" s="329">
        <v>108568.87637264801</v>
      </c>
      <c r="G24" s="329">
        <v>166253.9985131085</v>
      </c>
      <c r="H24" s="329">
        <v>209161.5167353134</v>
      </c>
      <c r="I24" s="329">
        <v>149873.78583328298</v>
      </c>
      <c r="J24" s="329">
        <v>130679.75005093201</v>
      </c>
      <c r="K24" s="329">
        <v>124995.44976423301</v>
      </c>
      <c r="L24" s="329">
        <v>137371.93986225341</v>
      </c>
      <c r="M24" s="329">
        <v>75550.67300000001</v>
      </c>
      <c r="N24" s="329">
        <v>78186</v>
      </c>
      <c r="O24" s="330">
        <v>128921</v>
      </c>
      <c r="P24" s="329">
        <v>145676</v>
      </c>
      <c r="Q24" s="737">
        <v>211565</v>
      </c>
      <c r="R24" s="737">
        <v>113830</v>
      </c>
      <c r="S24" s="737">
        <v>127966</v>
      </c>
      <c r="T24" s="737">
        <v>151465</v>
      </c>
      <c r="U24" s="737">
        <f>'[15]2019. IV. - Új hitelek'!O33+'[15]2019. IV. - Új hitelek'!O75</f>
        <v>169582</v>
      </c>
      <c r="V24" s="739">
        <v>112042</v>
      </c>
      <c r="W24" s="739">
        <v>128070</v>
      </c>
      <c r="X24" s="737">
        <v>224947</v>
      </c>
      <c r="Y24" s="737">
        <v>204564</v>
      </c>
      <c r="Z24" s="740">
        <v>138576</v>
      </c>
      <c r="AA24" s="1"/>
      <c r="AB24" s="1">
        <v>117885</v>
      </c>
      <c r="AC24" s="345" t="s">
        <v>636</v>
      </c>
      <c r="AE24" s="20" t="s">
        <v>44</v>
      </c>
      <c r="AF24" s="253">
        <f t="shared" si="22"/>
        <v>-43.985294534905925</v>
      </c>
      <c r="AG24" s="227">
        <f t="shared" si="22"/>
        <v>53.793145034061439</v>
      </c>
      <c r="AH24" s="227">
        <f t="shared" si="22"/>
        <v>18.910779389625262</v>
      </c>
      <c r="AI24" s="227">
        <f t="shared" si="22"/>
        <v>0.56394252759311314</v>
      </c>
      <c r="AJ24" s="227">
        <f t="shared" si="23"/>
        <v>4.9914817484116156</v>
      </c>
      <c r="AK24" s="227">
        <f t="shared" si="23"/>
        <v>8.6025201592087228</v>
      </c>
      <c r="AL24" s="227">
        <f t="shared" si="23"/>
        <v>7.4269561509814963</v>
      </c>
      <c r="AM24" s="227">
        <f t="shared" si="23"/>
        <v>83.817640052674079</v>
      </c>
      <c r="AN24" s="227">
        <f t="shared" si="24"/>
        <v>20.522516328635263</v>
      </c>
      <c r="AO24" s="227">
        <f t="shared" si="24"/>
        <v>-18.670124097055009</v>
      </c>
      <c r="AP24" s="227">
        <f t="shared" si="24"/>
        <v>-4.9458047922735773</v>
      </c>
      <c r="AQ24" s="228">
        <f t="shared" si="24"/>
        <v>-29.327161388230095</v>
      </c>
      <c r="AR24" s="228">
        <f t="shared" si="24"/>
        <v>18.68633363214083</v>
      </c>
      <c r="AS24" s="228">
        <f t="shared" si="24"/>
        <v>-6.731572155165864</v>
      </c>
      <c r="AT24" s="228">
        <f t="shared" si="24"/>
        <v>62.741416679321333</v>
      </c>
      <c r="AU24" s="228">
        <f t="shared" si="24"/>
        <v>0.89561257742192879</v>
      </c>
    </row>
    <row r="25" spans="3:49" ht="15.75" thickBot="1" x14ac:dyDescent="0.3">
      <c r="D25" s="22" t="s">
        <v>31</v>
      </c>
      <c r="E25" s="484">
        <f t="shared" ref="E25:O25" si="27">E20/E24*100</f>
        <v>55.234214035228703</v>
      </c>
      <c r="F25" s="486">
        <f t="shared" si="27"/>
        <v>53.564372116683465</v>
      </c>
      <c r="G25" s="486">
        <f t="shared" si="27"/>
        <v>42.987293437122361</v>
      </c>
      <c r="H25" s="486">
        <f t="shared" si="27"/>
        <v>33.108069086736464</v>
      </c>
      <c r="I25" s="486">
        <f t="shared" si="27"/>
        <v>25.881653233344039</v>
      </c>
      <c r="J25" s="486">
        <f t="shared" si="27"/>
        <v>45.650587920648938</v>
      </c>
      <c r="K25" s="486">
        <f t="shared" si="27"/>
        <v>56.752068101799338</v>
      </c>
      <c r="L25" s="486">
        <f t="shared" si="27"/>
        <v>51.930219222380572</v>
      </c>
      <c r="M25" s="486">
        <f t="shared" si="27"/>
        <v>53.711836557696849</v>
      </c>
      <c r="N25" s="486">
        <f t="shared" si="27"/>
        <v>52.088609213925764</v>
      </c>
      <c r="O25" s="485">
        <f t="shared" si="27"/>
        <v>50.254031538694242</v>
      </c>
      <c r="P25" s="486">
        <f>P20/P24*100</f>
        <v>52.311980010434112</v>
      </c>
      <c r="Q25" s="258">
        <f>Q20/Q24*100</f>
        <v>61.981424148606813</v>
      </c>
      <c r="R25" s="258">
        <f>R20/R24*100</f>
        <v>43.120442765527542</v>
      </c>
      <c r="S25" s="258">
        <f t="shared" ref="S25:W25" si="28">S20/S24*100</f>
        <v>41.176562524420554</v>
      </c>
      <c r="T25" s="258">
        <f t="shared" si="28"/>
        <v>47.824249826692636</v>
      </c>
      <c r="U25" s="258">
        <f t="shared" si="28"/>
        <v>54.648488636765691</v>
      </c>
      <c r="V25" s="258">
        <f t="shared" si="28"/>
        <v>51.994787668909872</v>
      </c>
      <c r="W25" s="258">
        <f t="shared" si="28"/>
        <v>38.373545717185912</v>
      </c>
      <c r="X25" s="258">
        <f>X20/X24*100</f>
        <v>52.405677781877515</v>
      </c>
      <c r="Y25" s="258">
        <f>Y20/Y24*100</f>
        <v>45.708922391036545</v>
      </c>
      <c r="Z25" s="258">
        <f>Z20/Z24*100</f>
        <v>51.222433899087861</v>
      </c>
      <c r="AA25" s="32"/>
      <c r="AB25" s="32">
        <v>139.87180791535252</v>
      </c>
      <c r="AC25" s="25" t="s">
        <v>637</v>
      </c>
    </row>
    <row r="26" spans="3:49" x14ac:dyDescent="0.25">
      <c r="AA26" s="32"/>
      <c r="AB26" s="32">
        <v>7.2952453662467664E-2</v>
      </c>
      <c r="AC26" s="401" t="s">
        <v>326</v>
      </c>
    </row>
    <row r="27" spans="3:49" ht="15.75" thickBot="1" x14ac:dyDescent="0.3">
      <c r="C27" t="s">
        <v>627</v>
      </c>
      <c r="H27" s="1">
        <f>E20+F20+G20+H20</f>
        <v>233223.99642193961</v>
      </c>
      <c r="I27" s="1">
        <f t="shared" ref="I27:N27" si="29">F20+G20+H20+I20</f>
        <v>237661.4841355746</v>
      </c>
      <c r="J27" s="1">
        <f t="shared" si="29"/>
        <v>239163.32138391241</v>
      </c>
      <c r="K27" s="1">
        <f t="shared" si="29"/>
        <v>238632.7299664813</v>
      </c>
      <c r="L27" s="1">
        <f t="shared" si="29"/>
        <v>240720.9400233929</v>
      </c>
      <c r="M27" s="1">
        <f t="shared" si="29"/>
        <v>242510.7804863379</v>
      </c>
      <c r="N27" s="1">
        <f t="shared" si="29"/>
        <v>223580.70629485292</v>
      </c>
      <c r="O27" s="1">
        <f>L20+M20+N20+O20</f>
        <v>217431.20352050499</v>
      </c>
      <c r="P27" s="1">
        <f>M20+N20+O20+P20</f>
        <v>222299.65400000001</v>
      </c>
      <c r="Q27" s="1">
        <f>N20+O20+P20+Q20</f>
        <v>312851</v>
      </c>
      <c r="R27" s="1">
        <f>O20+P20+Q20+R20</f>
        <v>321209</v>
      </c>
      <c r="W27" s="2"/>
      <c r="Z27">
        <f>Z20/Y20*100-100</f>
        <v>-24.086670088980156</v>
      </c>
      <c r="AA27" s="32"/>
      <c r="AB27" s="32">
        <v>6.8549857912372225</v>
      </c>
      <c r="AC27" s="741" t="s">
        <v>327</v>
      </c>
    </row>
    <row r="28" spans="3:49" ht="15.75" thickBot="1" x14ac:dyDescent="0.3">
      <c r="Z28">
        <f>Z20/V20*100-100</f>
        <v>21.844960175775881</v>
      </c>
      <c r="AA28" s="1"/>
      <c r="AB28" s="1">
        <v>224947</v>
      </c>
      <c r="AC28" s="742" t="s">
        <v>626</v>
      </c>
    </row>
    <row r="29" spans="3:49" ht="15.75" thickBot="1" x14ac:dyDescent="0.3">
      <c r="D29" s="1143" t="s">
        <v>638</v>
      </c>
      <c r="E29" s="1144"/>
      <c r="F29" s="1144"/>
      <c r="G29" s="1144"/>
      <c r="H29" s="1144"/>
      <c r="I29" s="1145"/>
      <c r="AA29" s="32"/>
      <c r="AB29" s="32">
        <v>6.9279382448996909</v>
      </c>
      <c r="AC29" s="412" t="s">
        <v>639</v>
      </c>
    </row>
    <row r="30" spans="3:49" ht="60.75" thickBot="1" x14ac:dyDescent="0.3">
      <c r="D30" s="743"/>
      <c r="E30" s="744" t="s">
        <v>640</v>
      </c>
      <c r="F30" s="745" t="s">
        <v>641</v>
      </c>
      <c r="G30" s="745" t="s">
        <v>642</v>
      </c>
      <c r="H30" s="745" t="s">
        <v>643</v>
      </c>
      <c r="I30" s="746" t="s">
        <v>441</v>
      </c>
      <c r="AA30" s="32"/>
    </row>
    <row r="31" spans="3:49" ht="15.75" thickBot="1" x14ac:dyDescent="0.3">
      <c r="D31" s="747" t="s">
        <v>644</v>
      </c>
      <c r="E31" s="748">
        <v>167604</v>
      </c>
      <c r="F31" s="748">
        <v>88689</v>
      </c>
      <c r="G31" s="748">
        <v>30562</v>
      </c>
      <c r="H31" s="748">
        <v>56194</v>
      </c>
      <c r="I31" s="748">
        <v>35542</v>
      </c>
      <c r="K31" s="748"/>
      <c r="L31" s="748"/>
      <c r="M31" s="748"/>
      <c r="N31" s="748"/>
      <c r="O31" s="748"/>
    </row>
    <row r="32" spans="3:49" ht="21.75" thickBot="1" x14ac:dyDescent="0.4">
      <c r="D32" s="747" t="s">
        <v>645</v>
      </c>
      <c r="E32" s="748">
        <v>51202</v>
      </c>
      <c r="F32" s="748">
        <v>37252</v>
      </c>
      <c r="G32" s="748">
        <v>29564</v>
      </c>
      <c r="H32" s="748">
        <v>65059</v>
      </c>
      <c r="I32" s="748">
        <v>36350</v>
      </c>
      <c r="K32" s="748"/>
      <c r="L32" s="748"/>
      <c r="M32" s="748"/>
      <c r="N32" s="748"/>
      <c r="O32" s="748"/>
      <c r="AC32" s="1123" t="s">
        <v>646</v>
      </c>
      <c r="AD32" s="1124"/>
      <c r="AE32" s="1124"/>
      <c r="AF32" s="1124"/>
      <c r="AG32" s="1124"/>
      <c r="AH32" s="1124"/>
      <c r="AI32" s="1124"/>
      <c r="AJ32" s="1124"/>
      <c r="AK32" s="1124"/>
      <c r="AL32" s="1124"/>
      <c r="AM32" s="1124"/>
      <c r="AN32" s="1124"/>
      <c r="AO32" s="1124"/>
      <c r="AP32" s="1124"/>
      <c r="AQ32" s="1124"/>
      <c r="AR32" s="1124"/>
      <c r="AS32" s="1124"/>
      <c r="AT32" s="1124"/>
      <c r="AU32" s="1124"/>
      <c r="AV32" s="1124"/>
      <c r="AW32" s="1125"/>
    </row>
    <row r="33" spans="4:49" ht="15.75" thickBot="1" x14ac:dyDescent="0.3">
      <c r="D33" s="749">
        <v>2017</v>
      </c>
      <c r="E33" s="750">
        <f>'[15]2017. I. - Új'!B37+'[15]2017. I. - Új'!H37+'[15]2017. I. - Új'!B52+'[15]2017. I. - Új'!H52+'[15]2017. II. - Új'!B37+'[15]2017. II. - Új'!H37+'[15]2017. II. - Új'!B52+'[15]2017. II. - Új'!H52+'[15]2017. III. - Új'!B37+'[15]2017. III. - Új'!H37+'[15]2017. III. - Új'!B52+'[15]2017. III. - Új'!H52+'[15]2017. IV. - Új'!B37+'[15]2017. IV. - Új'!H37+'[15]2017. IV. - Új'!B52+'[15]2017. IV. - Új'!H52</f>
        <v>93892.426484000011</v>
      </c>
      <c r="F33" s="750">
        <f>'[15]2017. I. - Új'!C37+'[15]2017. I. - Új'!I37+'[15]2017. I. - Új'!C52+'[15]2017. I. - Új'!I52+'[15]2017. II. - Új'!C37+'[15]2017. II. - Új'!I37+'[15]2017. II. - Új'!C52+'[15]2017. II. - Új'!I52+'[15]2017. III. - Új'!C37+'[15]2017. III. - Új'!I37+'[15]2017. III. - Új'!C52+'[15]2017. III. - Új'!I52+'[15]2017. IV. - Új'!C37+'[15]2017. IV. - Új'!I37+'[15]2017. IV. - Új'!C52+'[15]2017. IV. - Új'!I52</f>
        <v>87272.717194308483</v>
      </c>
      <c r="G33" s="750">
        <f>'[15]2017. I. - Új'!D37+'[15]2017. I. - Új'!D52+'[15]2017. II. - Új'!D37+'[15]2017. II. - Új'!D52+'[15]2017. III. - Új'!D37+'[15]2017. III. - Új'!D52+'[15]2017. IV. - Új'!D37+'[15]2017. IV. - Új'!D52</f>
        <v>30120.926528000004</v>
      </c>
      <c r="H33" s="676">
        <f>'[15]2017. I. - Új'!E37+'[15]2017. I. - Új'!K37+'[15]2017. I. - Új'!E52+'[15]2017. I. - Új'!J52+'[15]2017. II. - Új'!E37+'[15]2017. II. - Új'!J37+'[15]2017. II. - Új'!E52+'[15]2017. II. - Új'!J52+'[15]2017. III. - Új'!E37+'[15]2017. III. - Új'!J37+'[15]2017. III. - Új'!E52+'[15]2017. III. - Új'!J52+'[15]2017. IV. - Új'!E37+'[15]2017. IV. - Új'!J37+'[15]2017. IV. - Új'!E52+'[15]2017. IV. - Új'!J52</f>
        <v>67047.016632999992</v>
      </c>
      <c r="I33" s="676">
        <f>'[15]2017. I. - Új'!F37+'[15]2017. I. - Új'!K37+'[15]2017. I. - Új'!F52+'[15]2017. I. - Új'!K52+'[15]2017. II. - Új'!F37+'[15]2017. II. - Új'!K37+'[15]2017. II. - Új'!F52+'[15]2017. II. - Új'!K52+'[15]2017. III. - Új'!F37+'[15]2017. III. - Új'!K37+'[15]2017. III. - Új'!F52+'[15]2017. III. - Új'!K52+'[15]2017. IV. - Új'!F37+'[15]2017. IV. - Új'!K37+'[15]2017. IV. - Új'!F52+'[15]2017. IV. - Új'!K52</f>
        <v>23866.898648000002</v>
      </c>
      <c r="L33" s="1"/>
    </row>
    <row r="34" spans="4:49" ht="15.75" thickBot="1" x14ac:dyDescent="0.3">
      <c r="D34" s="751">
        <v>2018</v>
      </c>
      <c r="E34" s="752">
        <f>'[15]2018. I. - Új_R'!B38+'[15]2018. I. - Új_R'!H38+'[15]2018. I. - Új_R'!B54+'[15]2018. I. - Új_R'!H54+'[15]2018. II. - Új_R'!B38+'[15]2018. II. - Új_R'!H38+'[15]2018. II. - Új_R'!B54+'[15]2018. II. - Új_R'!H54+'[15]2018. III. - Új'!B38+'[15]2018. III. - Új'!H38+'[15]2018. III. - Új'!B54+'[15]2018. III. - Új'!H54+'[15]2018. IV. - Új_R'!B38+'[15]2018. IV. - Új_R'!H38+'[15]2018. IV. - Új_R'!B54+'[15]2018. IV. - Új_R'!H54</f>
        <v>48506.210000000006</v>
      </c>
      <c r="F34" s="752">
        <f>'[15]2018. I. - Új_R'!C38+'[15]2018. I. - Új_R'!I38+'[15]2018. I. - Új_R'!C54+'[15]2018. I. - Új_R'!I54+'[15]2018. II. - Új_R'!C38+'[15]2018. II. - Új_R'!I38+'[15]2018. II. - Új_R'!C54+'[15]2018. II. - Új_R'!I54+'[15]2018. III. - Új'!C38+'[15]2018. III. - Új'!I38+'[15]2018. III. - Új'!C54+'[15]2018. III. - Új'!I54+'[15]2018. IV. - Új_R'!C38+'[15]2018. IV. - Új_R'!I38+'[15]2018. IV. - Új_R'!C54+'[15]2018. IV. - Új_R'!I54</f>
        <v>43030.939000000006</v>
      </c>
      <c r="G34" s="752">
        <f>'[15]2018. I. - Új_R'!D38+'[15]2018. I. - Új_R'!D54+'[15]2018. II. - Új_R'!D38+'[15]2018. II. - Új_R'!D54+'[15]2018. III. - Új'!D38+'[15]2018. III. - Új'!D54+'[15]2018. IV. - Új_R'!D38+'[15]2018. IV. - Új_R'!D54</f>
        <v>33857</v>
      </c>
      <c r="H34" s="752">
        <f>'[15]2018. I. - Új_R'!E38+'[15]2018. I. - Új_R'!J38+'[15]2018. I. - Új_R'!E54+'[15]2018. I. - Új_R'!J54+'[15]2018. II. - Új_R'!E38+'[15]2018. II. - Új_R'!J38+'[15]2018. II. - Új_R'!E54+'[15]2018. II. - Új_R'!J54+'[15]2018. III. - Új'!E38+'[15]2018. III. - Új'!J38+'[15]2018. III. - Új'!E54+'[15]2018. III. - Új'!J54+'[15]2018. IV. - Új_R'!E38+'[15]2018. IV. - Új_R'!J38+'[15]2018. IV. - Új_R'!E54+'[15]2018. IV. - Új_R'!J54</f>
        <v>65157.46</v>
      </c>
      <c r="I34" s="752">
        <f>'[15]2018. I. - Új_R'!F38+'[15]2018. I. - Új_R'!K38+'[15]2018. I. - Új_R'!F54+'[15]2018. I. - Új_R'!K54+'[15]2018. II. - Új_R'!F38+'[15]2018. II. - Új_R'!K38+'[15]2018. II. - Új_R'!F54+'[15]2018. II. - Új_R'!K54+'[15]2018. III. - Új'!F38+'[15]2018. III. - Új'!K38+'[15]2018. III. - Új'!F54+'[15]2018. III. - Új'!K54+'[15]2018. IV. - Új_R'!F38+'[15]2018. IV. - Új_R'!K38+'[15]2018. IV. - Új_R'!F54+'[15]2018. IV. - Új_R'!K54</f>
        <v>40748</v>
      </c>
      <c r="AC34" s="1126" t="s">
        <v>647</v>
      </c>
      <c r="AD34" s="1129" t="s">
        <v>576</v>
      </c>
      <c r="AE34" s="1129"/>
      <c r="AF34" s="1129"/>
      <c r="AG34" s="1129"/>
      <c r="AH34" s="1129"/>
      <c r="AI34" s="1129" t="s">
        <v>577</v>
      </c>
      <c r="AJ34" s="1129"/>
      <c r="AK34" s="1129"/>
      <c r="AL34" s="1129"/>
      <c r="AM34" s="1129"/>
      <c r="AN34" s="1130" t="s">
        <v>578</v>
      </c>
      <c r="AO34" s="1131"/>
      <c r="AP34" s="1131"/>
      <c r="AQ34" s="1131"/>
      <c r="AR34" s="1132"/>
      <c r="AS34" s="1130" t="s">
        <v>579</v>
      </c>
      <c r="AT34" s="1131"/>
      <c r="AU34" s="1131"/>
      <c r="AV34" s="1131"/>
      <c r="AW34" s="1132"/>
    </row>
    <row r="35" spans="4:49" ht="15.75" thickBot="1" x14ac:dyDescent="0.3">
      <c r="D35" s="747" t="s">
        <v>648</v>
      </c>
      <c r="E35" s="32" t="e">
        <f>E34/P15*100</f>
        <v>#DIV/0!</v>
      </c>
      <c r="F35" s="32" t="e">
        <f>F34/P15*100</f>
        <v>#DIV/0!</v>
      </c>
      <c r="G35" s="32" t="e">
        <f>G34/P15*100</f>
        <v>#DIV/0!</v>
      </c>
      <c r="H35" s="32" t="e">
        <f>H34/P15*100</f>
        <v>#DIV/0!</v>
      </c>
      <c r="I35" s="32" t="e">
        <f>I34/P15*100</f>
        <v>#DIV/0!</v>
      </c>
      <c r="K35" s="32"/>
      <c r="AC35" s="1127"/>
      <c r="AD35" s="1133" t="s">
        <v>560</v>
      </c>
      <c r="AE35" s="1133"/>
      <c r="AF35" s="1133"/>
      <c r="AG35" s="1116" t="s">
        <v>561</v>
      </c>
      <c r="AH35" s="1116"/>
      <c r="AI35" s="1133" t="s">
        <v>560</v>
      </c>
      <c r="AJ35" s="1133"/>
      <c r="AK35" s="1133"/>
      <c r="AL35" s="1116" t="s">
        <v>561</v>
      </c>
      <c r="AM35" s="1116"/>
      <c r="AN35" s="1117" t="s">
        <v>560</v>
      </c>
      <c r="AO35" s="1118"/>
      <c r="AP35" s="1119"/>
      <c r="AQ35" s="1120" t="s">
        <v>561</v>
      </c>
      <c r="AR35" s="1121"/>
      <c r="AS35" s="1117" t="s">
        <v>560</v>
      </c>
      <c r="AT35" s="1118"/>
      <c r="AU35" s="1119"/>
      <c r="AV35" s="1120" t="s">
        <v>561</v>
      </c>
      <c r="AW35" s="1121"/>
    </row>
    <row r="36" spans="4:49" ht="30.75" thickBot="1" x14ac:dyDescent="0.3">
      <c r="AC36" s="1128"/>
      <c r="AD36" s="672" t="s">
        <v>562</v>
      </c>
      <c r="AE36" s="672" t="s">
        <v>563</v>
      </c>
      <c r="AF36" s="672" t="s">
        <v>564</v>
      </c>
      <c r="AG36" s="672" t="s">
        <v>565</v>
      </c>
      <c r="AH36" s="672" t="s">
        <v>566</v>
      </c>
      <c r="AI36" s="672" t="s">
        <v>562</v>
      </c>
      <c r="AJ36" s="673" t="s">
        <v>563</v>
      </c>
      <c r="AK36" s="672" t="s">
        <v>564</v>
      </c>
      <c r="AL36" s="672" t="s">
        <v>567</v>
      </c>
      <c r="AM36" s="672" t="s">
        <v>566</v>
      </c>
      <c r="AN36" s="672" t="s">
        <v>562</v>
      </c>
      <c r="AO36" s="672" t="s">
        <v>563</v>
      </c>
      <c r="AP36" s="672" t="s">
        <v>564</v>
      </c>
      <c r="AQ36" s="672" t="s">
        <v>565</v>
      </c>
      <c r="AR36" s="672" t="s">
        <v>566</v>
      </c>
      <c r="AS36" s="672" t="s">
        <v>562</v>
      </c>
      <c r="AT36" s="672" t="s">
        <v>563</v>
      </c>
      <c r="AU36" s="672" t="s">
        <v>564</v>
      </c>
      <c r="AV36" s="672" t="s">
        <v>567</v>
      </c>
      <c r="AW36" s="672" t="s">
        <v>566</v>
      </c>
    </row>
    <row r="37" spans="4:49" ht="15.75" thickBot="1" x14ac:dyDescent="0.3">
      <c r="E37" s="1">
        <f>E34+F34</f>
        <v>91537.149000000005</v>
      </c>
      <c r="G37" s="1">
        <f>G34+H34</f>
        <v>99014.459999999992</v>
      </c>
      <c r="AC37" s="675" t="s">
        <v>568</v>
      </c>
      <c r="AD37" s="676">
        <v>10221</v>
      </c>
      <c r="AE37" s="677">
        <f>AD37-AF37</f>
        <v>3916</v>
      </c>
      <c r="AF37" s="678">
        <v>6305</v>
      </c>
      <c r="AG37" s="245">
        <f>AE37/AD37*100</f>
        <v>38.313276587418059</v>
      </c>
      <c r="AH37" s="287">
        <f>AF37/AD37*100</f>
        <v>61.686723412581934</v>
      </c>
      <c r="AI37" s="676">
        <v>21755</v>
      </c>
      <c r="AJ37" s="677">
        <f>AI37-AK37</f>
        <v>9408</v>
      </c>
      <c r="AK37" s="678">
        <v>12347</v>
      </c>
      <c r="AL37" s="245">
        <f>AJ37/AI37*100</f>
        <v>43.245230981383592</v>
      </c>
      <c r="AM37" s="221">
        <f>AK37/AI37*100</f>
        <v>56.754769018616415</v>
      </c>
      <c r="AN37" s="676">
        <v>21226</v>
      </c>
      <c r="AO37" s="677">
        <f>AN37-AP37</f>
        <v>9338</v>
      </c>
      <c r="AP37" s="678">
        <v>11888</v>
      </c>
      <c r="AQ37" s="245">
        <f>AO37/AN37*100</f>
        <v>43.993215867332516</v>
      </c>
      <c r="AR37" s="245">
        <f>AP37/AN37*100</f>
        <v>56.006784132667484</v>
      </c>
      <c r="AS37" s="676">
        <v>17836</v>
      </c>
      <c r="AT37" s="677">
        <f>AS37-AU37</f>
        <v>6919</v>
      </c>
      <c r="AU37" s="678">
        <v>10917</v>
      </c>
      <c r="AV37" s="245">
        <f>AT37/AS37*100</f>
        <v>38.792330118860733</v>
      </c>
      <c r="AW37" s="221">
        <f>AU37/AS37*100</f>
        <v>61.207669881139267</v>
      </c>
    </row>
    <row r="38" spans="4:49" ht="15.75" thickBot="1" x14ac:dyDescent="0.3">
      <c r="E38">
        <f>E37/T6*100</f>
        <v>115.82728998215845</v>
      </c>
      <c r="G38">
        <f>G37/T6*100</f>
        <v>125.28876741449339</v>
      </c>
      <c r="AC38" s="675" t="s">
        <v>569</v>
      </c>
      <c r="AD38" s="4">
        <v>24750.019</v>
      </c>
      <c r="AE38" s="677">
        <f>AD38-AF38</f>
        <v>6930</v>
      </c>
      <c r="AF38" s="28">
        <v>17820.019</v>
      </c>
      <c r="AG38" s="248">
        <f>AE38/AD38*100</f>
        <v>27.999978505067009</v>
      </c>
      <c r="AH38" s="449">
        <f>AF38/AD38*100</f>
        <v>72.000021494932994</v>
      </c>
      <c r="AI38" s="4">
        <v>37359.900999999998</v>
      </c>
      <c r="AJ38" s="5">
        <f>AI38-AK38</f>
        <v>10343.416999999998</v>
      </c>
      <c r="AK38" s="28">
        <v>27016.484</v>
      </c>
      <c r="AL38" s="248">
        <f>AJ38/AI38*100</f>
        <v>27.685879039133422</v>
      </c>
      <c r="AM38" s="414">
        <f>AK38/AI38*100</f>
        <v>72.314120960866575</v>
      </c>
      <c r="AN38" s="4">
        <v>41851.81</v>
      </c>
      <c r="AO38" s="5">
        <f>AN38-AP38</f>
        <v>9033.25</v>
      </c>
      <c r="AP38" s="28">
        <v>32818.559999999998</v>
      </c>
      <c r="AQ38" s="248">
        <f>AO38/AN38*100</f>
        <v>21.583893265309197</v>
      </c>
      <c r="AR38" s="248">
        <f>AP38/AN38*100</f>
        <v>78.4161067346908</v>
      </c>
      <c r="AS38" s="4">
        <v>56300.13</v>
      </c>
      <c r="AT38" s="5">
        <f>AS38-AU38</f>
        <v>13727.419999999998</v>
      </c>
      <c r="AU38" s="28">
        <v>42572.71</v>
      </c>
      <c r="AV38" s="248">
        <f>AT38/AS38*100</f>
        <v>24.382572473633719</v>
      </c>
      <c r="AW38" s="414">
        <f>AU38/AS38*100</f>
        <v>75.617427526366285</v>
      </c>
    </row>
    <row r="39" spans="4:49" ht="15.75" thickBot="1" x14ac:dyDescent="0.3">
      <c r="E39" s="1"/>
      <c r="AC39" s="654" t="s">
        <v>570</v>
      </c>
      <c r="AD39" s="387">
        <v>34971.019</v>
      </c>
      <c r="AE39" s="388">
        <f>AD39-AF39</f>
        <v>10846</v>
      </c>
      <c r="AF39" s="389">
        <f>AF37+AF38</f>
        <v>24125.019</v>
      </c>
      <c r="AG39" s="680">
        <f>AE39/AD39*100</f>
        <v>31.014252115444506</v>
      </c>
      <c r="AH39" s="698">
        <f>AF39/AD39*100</f>
        <v>68.985747884555494</v>
      </c>
      <c r="AI39" s="387">
        <v>59114.900999999998</v>
      </c>
      <c r="AJ39" s="388">
        <f>AI39-AK39</f>
        <v>19751.417000000001</v>
      </c>
      <c r="AK39" s="389">
        <f>AK37+AK38</f>
        <v>39363.483999999997</v>
      </c>
      <c r="AL39" s="680">
        <f>AJ39/AI39*100</f>
        <v>33.41190912254087</v>
      </c>
      <c r="AM39" s="681">
        <f>AK39/AI39*100</f>
        <v>66.588090877459138</v>
      </c>
      <c r="AN39" s="387">
        <v>63077.81</v>
      </c>
      <c r="AO39" s="388">
        <f>AN39-AP39</f>
        <v>18371.25</v>
      </c>
      <c r="AP39" s="389">
        <f>AP37+AP38</f>
        <v>44706.559999999998</v>
      </c>
      <c r="AQ39" s="680">
        <f>AO39/AN39*100</f>
        <v>29.1247429167246</v>
      </c>
      <c r="AR39" s="681">
        <f>AP39/AN39*100</f>
        <v>70.8752570832754</v>
      </c>
      <c r="AS39" s="387">
        <f>AS37+AS38</f>
        <v>74136.13</v>
      </c>
      <c r="AT39" s="388">
        <f>AT37+AT38</f>
        <v>20646.419999999998</v>
      </c>
      <c r="AU39" s="389">
        <f>AU37+AU38</f>
        <v>53489.71</v>
      </c>
      <c r="AV39" s="680">
        <f>AT39/AS39*100</f>
        <v>27.849336079452751</v>
      </c>
      <c r="AW39" s="681">
        <f>AU39/AS39*100</f>
        <v>72.150663920547231</v>
      </c>
    </row>
    <row r="40" spans="4:49" ht="15.75" thickBot="1" x14ac:dyDescent="0.3">
      <c r="AH40" s="32"/>
      <c r="AL40" s="32"/>
      <c r="AQ40" s="32"/>
      <c r="AV40" s="32"/>
    </row>
    <row r="41" spans="4:49" ht="15.75" thickBot="1" x14ac:dyDescent="0.3">
      <c r="AC41" s="1134" t="s">
        <v>649</v>
      </c>
      <c r="AD41" s="1129" t="s">
        <v>576</v>
      </c>
      <c r="AE41" s="1129"/>
      <c r="AF41" s="1129"/>
      <c r="AG41" s="1129"/>
      <c r="AH41" s="1129"/>
      <c r="AI41" s="1129" t="s">
        <v>577</v>
      </c>
      <c r="AJ41" s="1129"/>
      <c r="AK41" s="1129"/>
      <c r="AL41" s="1129"/>
      <c r="AM41" s="1129"/>
      <c r="AN41" s="1130" t="s">
        <v>578</v>
      </c>
      <c r="AO41" s="1131"/>
      <c r="AP41" s="1131"/>
      <c r="AQ41" s="1131"/>
      <c r="AR41" s="1132"/>
      <c r="AS41" s="1130" t="s">
        <v>579</v>
      </c>
      <c r="AT41" s="1131"/>
      <c r="AU41" s="1131"/>
      <c r="AV41" s="1131"/>
      <c r="AW41" s="1132"/>
    </row>
    <row r="42" spans="4:49" ht="15.75" thickBot="1" x14ac:dyDescent="0.3">
      <c r="AC42" s="1135"/>
      <c r="AD42" s="1133" t="s">
        <v>560</v>
      </c>
      <c r="AE42" s="1133"/>
      <c r="AF42" s="1133"/>
      <c r="AG42" s="1116" t="s">
        <v>561</v>
      </c>
      <c r="AH42" s="1116"/>
      <c r="AI42" s="1133" t="s">
        <v>560</v>
      </c>
      <c r="AJ42" s="1133"/>
      <c r="AK42" s="1133"/>
      <c r="AL42" s="1116" t="s">
        <v>561</v>
      </c>
      <c r="AM42" s="1116"/>
      <c r="AN42" s="1117" t="s">
        <v>560</v>
      </c>
      <c r="AO42" s="1118"/>
      <c r="AP42" s="1119"/>
      <c r="AQ42" s="1120" t="s">
        <v>561</v>
      </c>
      <c r="AR42" s="1121"/>
      <c r="AS42" s="1117" t="s">
        <v>560</v>
      </c>
      <c r="AT42" s="1118"/>
      <c r="AU42" s="1119"/>
      <c r="AV42" s="1120" t="s">
        <v>561</v>
      </c>
      <c r="AW42" s="1121"/>
    </row>
    <row r="43" spans="4:49" ht="30.75" thickBot="1" x14ac:dyDescent="0.3">
      <c r="AC43" s="1136"/>
      <c r="AD43" s="672" t="s">
        <v>562</v>
      </c>
      <c r="AE43" s="672" t="s">
        <v>563</v>
      </c>
      <c r="AF43" s="672" t="s">
        <v>564</v>
      </c>
      <c r="AG43" s="672" t="s">
        <v>565</v>
      </c>
      <c r="AH43" s="672" t="s">
        <v>566</v>
      </c>
      <c r="AI43" s="672" t="s">
        <v>562</v>
      </c>
      <c r="AJ43" s="672" t="s">
        <v>563</v>
      </c>
      <c r="AK43" s="672" t="s">
        <v>564</v>
      </c>
      <c r="AL43" s="672" t="s">
        <v>567</v>
      </c>
      <c r="AM43" s="672" t="s">
        <v>566</v>
      </c>
      <c r="AN43" s="672" t="s">
        <v>562</v>
      </c>
      <c r="AO43" s="672" t="s">
        <v>563</v>
      </c>
      <c r="AP43" s="672" t="s">
        <v>564</v>
      </c>
      <c r="AQ43" s="672" t="s">
        <v>565</v>
      </c>
      <c r="AR43" s="672" t="s">
        <v>566</v>
      </c>
      <c r="AS43" s="672" t="s">
        <v>562</v>
      </c>
      <c r="AT43" s="672" t="s">
        <v>563</v>
      </c>
      <c r="AU43" s="672" t="s">
        <v>564</v>
      </c>
      <c r="AV43" s="672" t="s">
        <v>567</v>
      </c>
      <c r="AW43" s="672" t="s">
        <v>566</v>
      </c>
    </row>
    <row r="44" spans="4:49" ht="15.75" thickBot="1" x14ac:dyDescent="0.3">
      <c r="AC44" s="675" t="s">
        <v>568</v>
      </c>
      <c r="AD44" s="676">
        <v>174</v>
      </c>
      <c r="AE44" s="677">
        <f>AD44-AF44</f>
        <v>100</v>
      </c>
      <c r="AF44" s="678">
        <v>74</v>
      </c>
      <c r="AG44" s="245">
        <f>AE44/AD44*100</f>
        <v>57.47126436781609</v>
      </c>
      <c r="AH44" s="221">
        <f>AF44/AD44*100</f>
        <v>42.528735632183903</v>
      </c>
      <c r="AI44" s="676">
        <v>308</v>
      </c>
      <c r="AJ44" s="677">
        <f>AI44-AK44</f>
        <v>205</v>
      </c>
      <c r="AK44" s="678">
        <v>103</v>
      </c>
      <c r="AL44" s="245">
        <f>AJ44/AI44*100</f>
        <v>66.558441558441558</v>
      </c>
      <c r="AM44" s="221">
        <f>AK44/AI44*100</f>
        <v>33.441558441558442</v>
      </c>
      <c r="AN44" s="676">
        <v>526</v>
      </c>
      <c r="AO44" s="677">
        <f>AN44-AP44</f>
        <v>263</v>
      </c>
      <c r="AP44" s="678">
        <v>263</v>
      </c>
      <c r="AQ44" s="245">
        <f>AO44/AN44*100</f>
        <v>50</v>
      </c>
      <c r="AR44" s="245">
        <f>AP44/AN44*100</f>
        <v>50</v>
      </c>
      <c r="AS44" s="676">
        <v>1883</v>
      </c>
      <c r="AT44" s="677">
        <f>AS44-AU44</f>
        <v>1363</v>
      </c>
      <c r="AU44" s="678">
        <v>520</v>
      </c>
      <c r="AV44" s="245">
        <f>AT44/AS44*100</f>
        <v>72.38449283058948</v>
      </c>
      <c r="AW44" s="221">
        <f>AU44/AS44*100</f>
        <v>27.615507169410513</v>
      </c>
    </row>
    <row r="45" spans="4:49" ht="15.75" thickBot="1" x14ac:dyDescent="0.3">
      <c r="AC45" s="675" t="s">
        <v>572</v>
      </c>
      <c r="AD45" s="4">
        <v>40405.654000000002</v>
      </c>
      <c r="AE45" s="5">
        <f>AD45-AF45</f>
        <v>11336.654000000002</v>
      </c>
      <c r="AF45" s="28">
        <v>29069</v>
      </c>
      <c r="AG45" s="248">
        <f>AE45/AD45*100</f>
        <v>28.057098147699826</v>
      </c>
      <c r="AH45" s="414">
        <f>AF45/AD45*100</f>
        <v>71.942901852300167</v>
      </c>
      <c r="AI45" s="4">
        <v>64235.074999999997</v>
      </c>
      <c r="AJ45" s="5">
        <f>AI45-AK45</f>
        <v>21257.074999999997</v>
      </c>
      <c r="AK45" s="28">
        <v>42978</v>
      </c>
      <c r="AL45" s="248">
        <f>AJ45/AI45*100</f>
        <v>33.092628910295502</v>
      </c>
      <c r="AM45" s="414">
        <f>AK45/AI45*100</f>
        <v>66.907371089704498</v>
      </c>
      <c r="AN45" s="4">
        <v>74604.479999999996</v>
      </c>
      <c r="AO45" s="5">
        <f>AN45-AP45</f>
        <v>23990.6</v>
      </c>
      <c r="AP45" s="28">
        <v>50613.88</v>
      </c>
      <c r="AQ45" s="245">
        <f>AO45/AN45*100</f>
        <v>32.157050086000197</v>
      </c>
      <c r="AR45" s="245">
        <f>AP45/AN45*100</f>
        <v>67.842949913999803</v>
      </c>
      <c r="AS45" s="4">
        <v>128957.97</v>
      </c>
      <c r="AT45" s="5">
        <f>AS45-AU45</f>
        <v>76639.570000000007</v>
      </c>
      <c r="AU45" s="28">
        <v>52318.400000000001</v>
      </c>
      <c r="AV45" s="248">
        <f>AT45/AS45*100</f>
        <v>59.42988246480617</v>
      </c>
      <c r="AW45" s="414">
        <f>AU45/AS45*100</f>
        <v>40.57011753519383</v>
      </c>
    </row>
    <row r="46" spans="4:49" ht="15.75" thickBot="1" x14ac:dyDescent="0.3">
      <c r="AC46" s="654" t="s">
        <v>573</v>
      </c>
      <c r="AD46" s="387">
        <v>40579.654000000002</v>
      </c>
      <c r="AE46" s="388">
        <f>AD46-AF46</f>
        <v>11436.654000000002</v>
      </c>
      <c r="AF46" s="389">
        <f>AF44+AF45</f>
        <v>29143</v>
      </c>
      <c r="AG46" s="680">
        <f>AE46/AD46*100</f>
        <v>28.183222064929392</v>
      </c>
      <c r="AH46" s="681">
        <f>AF46/AD46*100</f>
        <v>71.816777935070604</v>
      </c>
      <c r="AI46" s="387">
        <v>64543.074999999997</v>
      </c>
      <c r="AJ46" s="388">
        <f>AI46-AK46</f>
        <v>21462.074999999997</v>
      </c>
      <c r="AK46" s="389">
        <f>AK44+AK45</f>
        <v>43081</v>
      </c>
      <c r="AL46" s="680">
        <f>AJ46/AI46*100</f>
        <v>33.252327999556883</v>
      </c>
      <c r="AM46" s="681">
        <f>AK46/AI46*100</f>
        <v>66.747672000443117</v>
      </c>
      <c r="AN46" s="387">
        <v>75130.48</v>
      </c>
      <c r="AO46" s="388">
        <f>AN46-AP46</f>
        <v>24253.599999999999</v>
      </c>
      <c r="AP46" s="389">
        <f>AP44+AP45</f>
        <v>50876.88</v>
      </c>
      <c r="AQ46" s="680">
        <f>AO46/AN46*100</f>
        <v>32.281971311776523</v>
      </c>
      <c r="AR46" s="681">
        <f>AP46/AN46*100</f>
        <v>67.71802868822347</v>
      </c>
      <c r="AS46" s="387">
        <v>130840.97</v>
      </c>
      <c r="AT46" s="388">
        <f>AS46-AU46</f>
        <v>78002.570000000007</v>
      </c>
      <c r="AU46" s="389">
        <f>AU44+AU45</f>
        <v>52838.400000000001</v>
      </c>
      <c r="AV46" s="680">
        <f>AT46/AS46*100</f>
        <v>59.61631895575217</v>
      </c>
      <c r="AW46" s="681">
        <f>AU46/AS46*100</f>
        <v>40.383681044247837</v>
      </c>
    </row>
    <row r="47" spans="4:49" x14ac:dyDescent="0.25">
      <c r="AH47" s="32"/>
      <c r="AM47" s="32"/>
      <c r="AN47" s="1"/>
      <c r="AR47" s="32"/>
    </row>
    <row r="48" spans="4:49" x14ac:dyDescent="0.25">
      <c r="AH48" s="32"/>
      <c r="AM48" s="32"/>
      <c r="AR48" s="32"/>
    </row>
    <row r="49" spans="4:49" ht="15.75" thickBot="1" x14ac:dyDescent="0.3">
      <c r="AH49" s="32"/>
      <c r="AM49" s="32"/>
      <c r="AR49" s="32"/>
    </row>
    <row r="50" spans="4:49" ht="15.75" thickBot="1" x14ac:dyDescent="0.3">
      <c r="AC50" s="1126" t="s">
        <v>650</v>
      </c>
      <c r="AD50" s="1129" t="s">
        <v>582</v>
      </c>
      <c r="AE50" s="1129"/>
      <c r="AF50" s="1129"/>
      <c r="AG50" s="1129"/>
      <c r="AH50" s="1129"/>
      <c r="AI50" s="1129" t="s">
        <v>583</v>
      </c>
      <c r="AJ50" s="1129"/>
      <c r="AK50" s="1129"/>
      <c r="AL50" s="1129"/>
      <c r="AM50" s="1129"/>
      <c r="AN50" s="1130" t="s">
        <v>584</v>
      </c>
      <c r="AO50" s="1131"/>
      <c r="AP50" s="1131"/>
      <c r="AQ50" s="1131"/>
      <c r="AR50" s="1132"/>
      <c r="AS50" s="1130" t="s">
        <v>585</v>
      </c>
      <c r="AT50" s="1131"/>
      <c r="AU50" s="1131"/>
      <c r="AV50" s="1131"/>
      <c r="AW50" s="1132"/>
    </row>
    <row r="51" spans="4:49" ht="15.75" thickBot="1" x14ac:dyDescent="0.3">
      <c r="AC51" s="1127"/>
      <c r="AD51" s="1133" t="s">
        <v>560</v>
      </c>
      <c r="AE51" s="1133"/>
      <c r="AF51" s="1133"/>
      <c r="AG51" s="1116" t="s">
        <v>561</v>
      </c>
      <c r="AH51" s="1116"/>
      <c r="AI51" s="1133" t="s">
        <v>560</v>
      </c>
      <c r="AJ51" s="1133"/>
      <c r="AK51" s="1133"/>
      <c r="AL51" s="1116" t="s">
        <v>561</v>
      </c>
      <c r="AM51" s="1116"/>
      <c r="AN51" s="1117" t="s">
        <v>560</v>
      </c>
      <c r="AO51" s="1118"/>
      <c r="AP51" s="1119"/>
      <c r="AQ51" s="1120" t="s">
        <v>561</v>
      </c>
      <c r="AR51" s="1121"/>
      <c r="AS51" s="1117" t="s">
        <v>560</v>
      </c>
      <c r="AT51" s="1118"/>
      <c r="AU51" s="1119"/>
      <c r="AV51" s="1120" t="s">
        <v>561</v>
      </c>
      <c r="AW51" s="1121"/>
    </row>
    <row r="52" spans="4:49" ht="30.75" thickBot="1" x14ac:dyDescent="0.3">
      <c r="AC52" s="1128"/>
      <c r="AD52" s="672" t="s">
        <v>562</v>
      </c>
      <c r="AE52" s="672" t="s">
        <v>563</v>
      </c>
      <c r="AF52" s="672" t="s">
        <v>564</v>
      </c>
      <c r="AG52" s="672" t="s">
        <v>565</v>
      </c>
      <c r="AH52" s="672" t="s">
        <v>566</v>
      </c>
      <c r="AI52" s="672" t="s">
        <v>562</v>
      </c>
      <c r="AJ52" s="672" t="s">
        <v>563</v>
      </c>
      <c r="AK52" s="672" t="s">
        <v>564</v>
      </c>
      <c r="AL52" s="672" t="s">
        <v>567</v>
      </c>
      <c r="AM52" s="672" t="s">
        <v>566</v>
      </c>
      <c r="AN52" s="672" t="s">
        <v>562</v>
      </c>
      <c r="AO52" s="672" t="s">
        <v>563</v>
      </c>
      <c r="AP52" s="672" t="s">
        <v>564</v>
      </c>
      <c r="AQ52" s="672" t="s">
        <v>567</v>
      </c>
      <c r="AR52" s="672" t="s">
        <v>566</v>
      </c>
      <c r="AS52" s="672" t="s">
        <v>562</v>
      </c>
      <c r="AT52" s="672" t="s">
        <v>563</v>
      </c>
      <c r="AU52" s="672" t="s">
        <v>564</v>
      </c>
      <c r="AV52" s="672" t="s">
        <v>567</v>
      </c>
      <c r="AW52" s="672" t="s">
        <v>566</v>
      </c>
    </row>
    <row r="53" spans="4:49" ht="15.75" thickBot="1" x14ac:dyDescent="0.3">
      <c r="AC53" s="675" t="s">
        <v>568</v>
      </c>
      <c r="AD53" s="701"/>
      <c r="AE53" s="702"/>
      <c r="AF53" s="702"/>
      <c r="AG53" s="702"/>
      <c r="AH53" s="703"/>
      <c r="AI53" s="701"/>
      <c r="AJ53" s="702"/>
      <c r="AK53" s="702"/>
      <c r="AL53" s="702"/>
      <c r="AM53" s="703"/>
      <c r="AN53" s="4">
        <v>17839.183648000002</v>
      </c>
      <c r="AO53" s="4">
        <f>AN53-AP53</f>
        <v>5710.9266320000024</v>
      </c>
      <c r="AP53" s="4">
        <v>12128.257016</v>
      </c>
      <c r="AQ53" s="220">
        <f>AO53/AN53*100</f>
        <v>32.013385503995693</v>
      </c>
      <c r="AR53" s="221">
        <f>AP53/AN53*100</f>
        <v>67.986614496004307</v>
      </c>
      <c r="AS53" s="676">
        <v>21297.092370000002</v>
      </c>
      <c r="AT53" s="677">
        <f>AS53-AU53</f>
        <v>13097.624424000001</v>
      </c>
      <c r="AU53" s="677">
        <v>8199.4679460000007</v>
      </c>
      <c r="AV53" s="220">
        <f>AT53/AS53*100</f>
        <v>61.499589692581125</v>
      </c>
      <c r="AW53" s="221">
        <f>AU53/AS53*100</f>
        <v>38.500410307418882</v>
      </c>
    </row>
    <row r="54" spans="4:49" ht="15.75" thickBot="1" x14ac:dyDescent="0.3">
      <c r="AC54" s="675" t="s">
        <v>569</v>
      </c>
      <c r="AD54" s="704"/>
      <c r="AE54" s="597"/>
      <c r="AF54" s="597"/>
      <c r="AG54" s="597"/>
      <c r="AH54" s="590"/>
      <c r="AI54" s="704"/>
      <c r="AJ54" s="597"/>
      <c r="AK54" s="597"/>
      <c r="AL54" s="597"/>
      <c r="AM54" s="590"/>
      <c r="AN54" s="4">
        <v>36218.763341885096</v>
      </c>
      <c r="AO54" s="4">
        <f>AN54-AP54</f>
        <v>8437.0069999999978</v>
      </c>
      <c r="AP54" s="4">
        <v>27781.756341885099</v>
      </c>
      <c r="AQ54" s="223">
        <f>AO54/AN54*100</f>
        <v>23.294575025544958</v>
      </c>
      <c r="AR54" s="414">
        <f>AP54/AN54*100</f>
        <v>76.705424974455042</v>
      </c>
      <c r="AS54" s="4">
        <v>44737.297971748398</v>
      </c>
      <c r="AT54" s="5">
        <f>AS54-AU54</f>
        <v>16107.462804529998</v>
      </c>
      <c r="AU54" s="5">
        <v>28629.8351672184</v>
      </c>
      <c r="AV54" s="223">
        <f>AT54/AS54*100</f>
        <v>36.004549972378442</v>
      </c>
      <c r="AW54" s="414">
        <f>AU54/AS54*100</f>
        <v>63.995450027621558</v>
      </c>
    </row>
    <row r="55" spans="4:49" ht="15.75" thickBot="1" x14ac:dyDescent="0.3">
      <c r="D55" s="1143" t="s">
        <v>638</v>
      </c>
      <c r="E55" s="1144"/>
      <c r="F55" s="1144"/>
      <c r="G55" s="1144"/>
      <c r="H55" s="1144"/>
      <c r="I55" s="1145"/>
      <c r="AC55" s="654" t="s">
        <v>570</v>
      </c>
      <c r="AD55" s="705"/>
      <c r="AE55" s="706"/>
      <c r="AF55" s="706"/>
      <c r="AG55" s="706"/>
      <c r="AH55" s="707"/>
      <c r="AI55" s="705"/>
      <c r="AJ55" s="706"/>
      <c r="AK55" s="706"/>
      <c r="AL55" s="706"/>
      <c r="AM55" s="707"/>
      <c r="AN55" s="387">
        <v>54057.946989885095</v>
      </c>
      <c r="AO55" s="388">
        <f>AN55-AP55</f>
        <v>14147.933632</v>
      </c>
      <c r="AP55" s="388">
        <f>AP53+AP54</f>
        <v>39910.013357885095</v>
      </c>
      <c r="AQ55" s="418">
        <f>AO55/AN55*100</f>
        <v>26.171792344698648</v>
      </c>
      <c r="AR55" s="709">
        <f>AP55/AN55*100</f>
        <v>73.828207655301341</v>
      </c>
      <c r="AS55" s="387">
        <v>66034.390341748396</v>
      </c>
      <c r="AT55" s="388">
        <f>AS55-AU55</f>
        <v>29205.087228529999</v>
      </c>
      <c r="AU55" s="388">
        <f>AU53+AU54</f>
        <v>36829.303113218397</v>
      </c>
      <c r="AV55" s="684">
        <f>AT55/AS55*100</f>
        <v>44.227086942704609</v>
      </c>
      <c r="AW55" s="681">
        <f>AU55/AS55*100</f>
        <v>55.772913057295391</v>
      </c>
    </row>
    <row r="56" spans="4:49" ht="60.75" thickBot="1" x14ac:dyDescent="0.3">
      <c r="D56" s="743"/>
      <c r="E56" s="744" t="s">
        <v>640</v>
      </c>
      <c r="F56" s="745" t="s">
        <v>641</v>
      </c>
      <c r="G56" s="745" t="s">
        <v>642</v>
      </c>
      <c r="H56" s="745" t="s">
        <v>643</v>
      </c>
      <c r="I56" s="746" t="s">
        <v>441</v>
      </c>
    </row>
    <row r="57" spans="4:49" ht="15.75" thickBot="1" x14ac:dyDescent="0.3">
      <c r="D57" s="753">
        <v>2017</v>
      </c>
      <c r="E57" s="220">
        <v>93.891999999999996</v>
      </c>
      <c r="F57" s="220">
        <v>87.272000000000006</v>
      </c>
      <c r="G57" s="220">
        <v>30.12</v>
      </c>
      <c r="H57" s="220">
        <v>67.046999999999997</v>
      </c>
      <c r="I57" s="221">
        <v>23.866898647999999</v>
      </c>
      <c r="K57" s="1"/>
      <c r="AC57" s="1134" t="s">
        <v>651</v>
      </c>
      <c r="AD57" s="1129" t="s">
        <v>582</v>
      </c>
      <c r="AE57" s="1129"/>
      <c r="AF57" s="1129"/>
      <c r="AG57" s="1129"/>
      <c r="AH57" s="1129"/>
      <c r="AI57" s="1129" t="s">
        <v>583</v>
      </c>
      <c r="AJ57" s="1129"/>
      <c r="AK57" s="1129"/>
      <c r="AL57" s="1129"/>
      <c r="AM57" s="1129"/>
      <c r="AN57" s="1130" t="s">
        <v>584</v>
      </c>
      <c r="AO57" s="1131"/>
      <c r="AP57" s="1131"/>
      <c r="AQ57" s="1131"/>
      <c r="AR57" s="1132"/>
      <c r="AS57" s="1130" t="s">
        <v>585</v>
      </c>
      <c r="AT57" s="1131"/>
      <c r="AU57" s="1131"/>
      <c r="AV57" s="1131"/>
      <c r="AW57" s="1132"/>
    </row>
    <row r="58" spans="4:49" ht="15.75" thickBot="1" x14ac:dyDescent="0.3">
      <c r="D58" s="754">
        <v>2018</v>
      </c>
      <c r="E58" s="292">
        <v>48.506</v>
      </c>
      <c r="F58" s="292">
        <v>43.03</v>
      </c>
      <c r="G58" s="292">
        <v>33.856999999999999</v>
      </c>
      <c r="H58" s="292">
        <v>65.156999999999996</v>
      </c>
      <c r="I58" s="427">
        <v>40.747999999999998</v>
      </c>
      <c r="AC58" s="1135"/>
      <c r="AD58" s="1133" t="s">
        <v>560</v>
      </c>
      <c r="AE58" s="1133"/>
      <c r="AF58" s="1133"/>
      <c r="AG58" s="1116" t="s">
        <v>561</v>
      </c>
      <c r="AH58" s="1116"/>
      <c r="AI58" s="1133" t="s">
        <v>560</v>
      </c>
      <c r="AJ58" s="1133"/>
      <c r="AK58" s="1133"/>
      <c r="AL58" s="1116" t="s">
        <v>561</v>
      </c>
      <c r="AM58" s="1116"/>
      <c r="AN58" s="1117" t="s">
        <v>560</v>
      </c>
      <c r="AO58" s="1118"/>
      <c r="AP58" s="1119"/>
      <c r="AQ58" s="1120" t="s">
        <v>561</v>
      </c>
      <c r="AR58" s="1121"/>
      <c r="AS58" s="1117" t="s">
        <v>560</v>
      </c>
      <c r="AT58" s="1118"/>
      <c r="AU58" s="1119"/>
      <c r="AV58" s="1120" t="s">
        <v>561</v>
      </c>
      <c r="AW58" s="1121"/>
    </row>
    <row r="59" spans="4:49" ht="30.75" thickBot="1" x14ac:dyDescent="0.3">
      <c r="AC59" s="1136"/>
      <c r="AD59" s="672" t="s">
        <v>562</v>
      </c>
      <c r="AE59" s="672" t="s">
        <v>563</v>
      </c>
      <c r="AF59" s="672" t="s">
        <v>564</v>
      </c>
      <c r="AG59" s="672" t="s">
        <v>565</v>
      </c>
      <c r="AH59" s="672" t="s">
        <v>566</v>
      </c>
      <c r="AI59" s="672" t="s">
        <v>562</v>
      </c>
      <c r="AJ59" s="672" t="s">
        <v>563</v>
      </c>
      <c r="AK59" s="672" t="s">
        <v>564</v>
      </c>
      <c r="AL59" s="672" t="s">
        <v>567</v>
      </c>
      <c r="AM59" s="672" t="s">
        <v>566</v>
      </c>
      <c r="AN59" s="672" t="s">
        <v>562</v>
      </c>
      <c r="AO59" s="672" t="s">
        <v>563</v>
      </c>
      <c r="AP59" s="672" t="s">
        <v>564</v>
      </c>
      <c r="AQ59" s="672" t="s">
        <v>567</v>
      </c>
      <c r="AR59" s="672" t="s">
        <v>566</v>
      </c>
      <c r="AS59" s="672" t="s">
        <v>562</v>
      </c>
      <c r="AT59" s="672" t="s">
        <v>563</v>
      </c>
      <c r="AU59" s="672" t="s">
        <v>564</v>
      </c>
      <c r="AV59" s="672" t="s">
        <v>567</v>
      </c>
      <c r="AW59" s="672" t="s">
        <v>566</v>
      </c>
    </row>
    <row r="60" spans="4:49" ht="15.75" thickBot="1" x14ac:dyDescent="0.3">
      <c r="AC60" s="675" t="s">
        <v>568</v>
      </c>
      <c r="AD60" s="4"/>
      <c r="AE60" s="4"/>
      <c r="AF60" s="4"/>
      <c r="AG60" s="220"/>
      <c r="AH60" s="221"/>
      <c r="AI60" s="676"/>
      <c r="AJ60" s="677"/>
      <c r="AK60" s="677"/>
      <c r="AL60" s="220"/>
      <c r="AM60" s="221"/>
      <c r="AN60" s="4">
        <v>674.78399999999999</v>
      </c>
      <c r="AO60" s="4">
        <f>AN60-AP60</f>
        <v>399.41199999999998</v>
      </c>
      <c r="AP60" s="4">
        <v>275.37200000000001</v>
      </c>
      <c r="AQ60" s="220">
        <f>AO60/AN60*100</f>
        <v>59.191089296723099</v>
      </c>
      <c r="AR60" s="221">
        <f>AP60/AN60*100</f>
        <v>40.808910703276901</v>
      </c>
      <c r="AS60" s="676">
        <v>293.40574700000002</v>
      </c>
      <c r="AT60" s="677">
        <f>AS60-AU60</f>
        <v>118.84574700000002</v>
      </c>
      <c r="AU60" s="677">
        <v>174.56</v>
      </c>
      <c r="AV60" s="220">
        <f>AT60/AS60*100</f>
        <v>40.505596163390763</v>
      </c>
      <c r="AW60" s="221">
        <f>AU60/AS60*100</f>
        <v>59.49440383660923</v>
      </c>
    </row>
    <row r="61" spans="4:49" ht="15.75" thickBot="1" x14ac:dyDescent="0.3">
      <c r="D61" s="1143" t="s">
        <v>652</v>
      </c>
      <c r="E61" s="1144"/>
      <c r="F61" s="1144"/>
      <c r="G61" s="1144"/>
      <c r="H61" s="1144"/>
      <c r="I61" s="1145"/>
      <c r="AC61" s="675" t="s">
        <v>572</v>
      </c>
      <c r="AD61" s="4"/>
      <c r="AE61" s="4"/>
      <c r="AF61" s="4"/>
      <c r="AG61" s="220"/>
      <c r="AH61" s="221"/>
      <c r="AI61" s="676"/>
      <c r="AJ61" s="677"/>
      <c r="AK61" s="677"/>
      <c r="AL61" s="220"/>
      <c r="AM61" s="221"/>
      <c r="AN61" s="4">
        <v>70262.718774347901</v>
      </c>
      <c r="AO61" s="4">
        <f>AN61-AP61</f>
        <v>17104.032766347897</v>
      </c>
      <c r="AP61" s="4">
        <v>53158.686008000004</v>
      </c>
      <c r="AQ61" s="220">
        <f>AO61/AN61*100</f>
        <v>24.342970304463055</v>
      </c>
      <c r="AR61" s="221">
        <f>AP61/AN61*100</f>
        <v>75.657029695536949</v>
      </c>
      <c r="AS61" s="676">
        <v>71044.143773504999</v>
      </c>
      <c r="AT61" s="677">
        <f>AS61-AU61</f>
        <v>24692.714091504997</v>
      </c>
      <c r="AU61" s="677">
        <v>46351.429682000002</v>
      </c>
      <c r="AV61" s="220">
        <f>AT61/AS61*100</f>
        <v>34.756860706531349</v>
      </c>
      <c r="AW61" s="221">
        <f>AU61/AS61*100</f>
        <v>65.243139293468658</v>
      </c>
    </row>
    <row r="62" spans="4:49" ht="75.75" thickBot="1" x14ac:dyDescent="0.3">
      <c r="D62" s="743"/>
      <c r="E62" s="744" t="s">
        <v>640</v>
      </c>
      <c r="F62" s="745" t="s">
        <v>641</v>
      </c>
      <c r="G62" s="745" t="s">
        <v>642</v>
      </c>
      <c r="H62" s="745" t="s">
        <v>643</v>
      </c>
      <c r="I62" s="746" t="s">
        <v>441</v>
      </c>
      <c r="L62" s="744" t="s">
        <v>640</v>
      </c>
      <c r="M62" s="745" t="s">
        <v>641</v>
      </c>
      <c r="N62" s="745" t="s">
        <v>642</v>
      </c>
      <c r="O62" s="745" t="s">
        <v>643</v>
      </c>
      <c r="P62" s="746" t="s">
        <v>441</v>
      </c>
      <c r="AC62" s="654" t="s">
        <v>573</v>
      </c>
      <c r="AD62" s="387"/>
      <c r="AE62" s="388"/>
      <c r="AF62" s="388"/>
      <c r="AG62" s="388"/>
      <c r="AH62" s="611"/>
      <c r="AI62" s="387"/>
      <c r="AJ62" s="388"/>
      <c r="AK62" s="388"/>
      <c r="AL62" s="388"/>
      <c r="AM62" s="611"/>
      <c r="AN62" s="387">
        <v>70937.5027743479</v>
      </c>
      <c r="AO62" s="388">
        <f>AN62-AP62</f>
        <v>17503.444766347893</v>
      </c>
      <c r="AP62" s="388">
        <f>AP60+AP61</f>
        <v>53434.058008000007</v>
      </c>
      <c r="AQ62" s="418">
        <f>AO62/AN62*100</f>
        <v>24.674458617504943</v>
      </c>
      <c r="AR62" s="418">
        <f>AP62/AN62*100</f>
        <v>75.325541382495061</v>
      </c>
      <c r="AS62" s="387">
        <v>71337.549520504996</v>
      </c>
      <c r="AT62" s="388">
        <f>AS62-AU62</f>
        <v>24811.559838504996</v>
      </c>
      <c r="AU62" s="388">
        <f>AU60+AU61</f>
        <v>46525.989681999999</v>
      </c>
      <c r="AV62" s="418">
        <f>AT62/AS62*100</f>
        <v>34.780504804658669</v>
      </c>
      <c r="AW62" s="418">
        <f>AU62/AS62*100</f>
        <v>65.219495195341338</v>
      </c>
    </row>
    <row r="63" spans="4:49" x14ac:dyDescent="0.25">
      <c r="D63" s="753">
        <v>2017</v>
      </c>
      <c r="E63" s="220">
        <v>62.784452500151701</v>
      </c>
      <c r="F63" s="220">
        <v>25.39012045218</v>
      </c>
      <c r="G63" s="220">
        <v>17.276783018</v>
      </c>
      <c r="H63" s="220">
        <v>119.79233685106099</v>
      </c>
      <c r="I63" s="221">
        <v>15.477247201999999</v>
      </c>
      <c r="L63" s="27">
        <f>'[15]2017. I. - Új'!B38+'[15]2017. I. - Új'!H38+'[15]2017. I. - Új'!B66+'[15]2017. I. - Új'!H66+'[15]2017. II. - Új'!B38+'[15]2017. II. - Új'!H38+'[15]2017. II. - Új'!B66+'[15]2017. II. - Új'!H66+'[15]2017. III. - Új'!B38+'[15]2017. III. - Új'!H38+'[15]2017. III. - Új'!B66+'[15]2017. III. - Új'!H66+'[15]2017. IV. - Új'!B38+'[15]2017. IV. - Új'!H38+'[15]2017. IV. - Új'!B66+'[15]2017. IV. - Új'!H66</f>
        <v>62784.452500151696</v>
      </c>
      <c r="M63">
        <f>'[15]2017. I. - Új'!C38+'[15]2017. I. - Új'!I38+'[15]2017. I. - Új'!C66+'[15]2017. I. - Új'!I66+'[15]2017. II. - Új'!C38+'[15]2017. II. - Új'!I38+'[15]2017. II. - Új'!C66+'[15]2017. II. - Új'!I66+'[15]2017. III. - Új'!C38+'[15]2017. III. - Új'!I38+'[15]2017. III. - Új'!C66+'[15]2017. III. - Új'!I66+'[15]2017. IV. - Új'!C38+'[15]2017. IV. - Új'!I38+'[15]2017. IV. - Új'!C66+'[15]2017. IV. - Új'!I66</f>
        <v>25390.120452180003</v>
      </c>
      <c r="N63">
        <f>'[15]2017. I. - Új'!D38+'[15]2017. I. - Új'!D66+'[15]2017. II. - Új'!D38+'[15]2017. II. - Új'!D66+'[15]2017. III. - Új'!D38+'[15]2017. III. - Új'!D66+'[15]2017. IV. - Új'!D38+'[15]2017. IV. - Új'!D66</f>
        <v>17276.783017999998</v>
      </c>
      <c r="O63">
        <f>'[15]2017. I. - Új'!E38+'[15]2017. I. - Új'!J38+'[15]2017. I. - Új'!E66+'[15]2017. I. - Új'!J66+'[15]2017. II. - Új'!E38+'[15]2017. II. - Új'!J38+'[15]2017. II. - Új'!E66+'[15]2017. II. - Új'!J66+'[15]2017. III. - Új'!E38+'[15]2017. III. - Új'!J38+'[15]2017. III. - Új'!E66+'[15]2017. III. - Új'!J66+'[15]2017. IV. - Új'!E38+'[15]2017. IV. - Új'!J38+'[15]2017. IV. - Új'!E66+'[15]2017. IV. - Új'!J66</f>
        <v>119792.33685106119</v>
      </c>
      <c r="P63">
        <f>'[15]2017. I. - Új'!F38+'[15]2017. I. - Új'!K38+'[15]2017. I. - Új'!F66+'[15]2017. I. - Új'!K66+'[15]2017. II. - Új'!F38+'[15]2017. II. - Új'!K38+'[15]2017. II. - Új'!F66+'[15]2017. II. - Új'!K66+'[15]2017. III. - Új'!F38+'[15]2017. III. - Új'!K38+'[15]2017. III. - Új'!F66+'[15]2017. III. - Új'!K66+'[15]2017. IV. - Új'!F38+'[15]2017. IV. - Új'!K38+'[15]2017. IV. - Új'!F66+'[15]2017. IV. - Új'!K66</f>
        <v>15477.247201999999</v>
      </c>
      <c r="AN63" s="1"/>
    </row>
    <row r="64" spans="4:49" ht="15.75" thickBot="1" x14ac:dyDescent="0.3">
      <c r="D64" s="754">
        <v>2018</v>
      </c>
      <c r="E64" s="292">
        <v>109.16309200000001</v>
      </c>
      <c r="F64" s="292">
        <v>47.504266999999999</v>
      </c>
      <c r="G64" s="292">
        <v>26.581</v>
      </c>
      <c r="H64" s="292">
        <v>111.13891</v>
      </c>
      <c r="I64" s="427">
        <v>16.706</v>
      </c>
      <c r="L64" s="27">
        <f>'[15]2018. I. - Új_R'!B39+'[15]2018. I. - Új_R'!H39+'[15]2018. I. - Új_R'!B69+'[15]2018. I. - Új_R'!H69+'[15]2018. II. - Új_R'!B39+'[15]2018. II. - Új_R'!H39+'[15]2018. II. - Új_R'!B69+'[15]2018. II. - Új_R'!H69+'[15]2018. III. - Új'!B39+'[15]2018. III. - Új'!H39+'[15]2018. III. - Új'!B69+'[15]2018. III. - Új'!H69+'[15]2018. IV. - Új_R'!B39+'[15]2018. IV. - Új_R'!H39+'[15]2018. IV. - Új_R'!B69+'[15]2018. IV. - Új_R'!H69</f>
        <v>109163.092</v>
      </c>
      <c r="M64">
        <f>'[15]2018. I. - Új_R'!C39+'[15]2018. I. - Új_R'!I39+'[15]2018. I. - Új_R'!C69+'[15]2018. I. - Új_R'!I69+'[15]2018. II. - Új_R'!C39+'[15]2018. II. - Új_R'!I39+'[15]2018. II. - Új_R'!C69+'[15]2018. II. - Új_R'!I69+'[15]2018. III. - Új'!C39+'[15]2018. III. - Új'!I39+'[15]2018. III. - Új'!C69+'[15]2018. III. - Új'!I69+'[15]2018. IV. - Új_R'!C39+'[15]2018. IV. - Új_R'!I39+'[15]2018. IV. - Új_R'!C69+'[15]2018. IV. - Új_R'!I69</f>
        <v>47504.267000000007</v>
      </c>
      <c r="N64">
        <f>'[15]2018. I. - Új_R'!D39+'[15]2018. I. - Új_R'!D69+'[15]2018. II. - Új_R'!D39+'[15]2018. II. - Új_R'!D69+'[15]2018. III. - Új'!D39+'[15]2018. III. - Új'!D69+'[15]2018. IV. - Új_R'!D39+'[15]2018. IV. - Új_R'!D69</f>
        <v>26581</v>
      </c>
      <c r="O64">
        <f>'[15]2018. I. - Új_R'!E39+'[15]2018. I. - Új_R'!J39+'[15]2018. I. - Új_R'!E69+'[15]2018. I. - Új_R'!J69+'[15]2018. II. - Új_R'!E39+'[15]2018. II. - Új_R'!J39+'[15]2018. II. - Új_R'!E69+'[15]2018. II. - Új_R'!J69+'[15]2018. III. - Új'!E39+'[15]2018. III. - Új'!J39+'[15]2018. III. - Új'!E69+'[15]2018. III. - Új'!J69+'[15]2018. IV. - Új_R'!E39+'[15]2018. IV. - Új_R'!J39+'[15]2018. IV. - Új_R'!E69+'[15]2018. IV. - Új_R'!J69</f>
        <v>111138.90999999999</v>
      </c>
      <c r="P64">
        <f>'[15]2018. I. - Új_R'!F39+'[15]2018. I. - Új_R'!K39+'[15]2018. I. - Új_R'!F69+'[15]2018. I. - Új_R'!K69+'[15]2018. II. - Új_R'!F39+'[15]2018. II. - Új_R'!K39+'[15]2018. II. - Új_R'!F69+'[15]2018. II. - Új_R'!K69+'[15]2018. III. - Új'!F39+'[15]2018. III. - Új'!K39+'[15]2018. III. - Új'!F69+'[15]2018. III. - Új'!K69+'[15]2018. IV. - Új_R'!F39+'[15]2018. IV. - Új_R'!K39+'[15]2018. IV. - Új_R'!F69+'[15]2018. IV. - Új_R'!K69</f>
        <v>16706</v>
      </c>
    </row>
    <row r="65" spans="12:50" ht="15.75" thickBot="1" x14ac:dyDescent="0.3"/>
    <row r="66" spans="12:50" ht="15" customHeight="1" thickBot="1" x14ac:dyDescent="0.35">
      <c r="AC66" s="1112" t="s">
        <v>653</v>
      </c>
      <c r="AD66" s="1113"/>
      <c r="AE66" s="1113"/>
      <c r="AF66" s="1113"/>
      <c r="AG66" s="1113"/>
      <c r="AH66" s="1113"/>
      <c r="AI66" s="1113"/>
      <c r="AJ66" s="1113"/>
      <c r="AK66" s="1113"/>
      <c r="AL66" s="1113"/>
      <c r="AM66" s="1113"/>
      <c r="AN66" s="1113"/>
      <c r="AO66" s="1113"/>
      <c r="AP66" s="1113"/>
      <c r="AQ66" s="1113"/>
      <c r="AR66" s="1113"/>
      <c r="AS66" s="1113"/>
      <c r="AT66" s="1113"/>
      <c r="AU66" s="1113"/>
      <c r="AV66" s="1113"/>
      <c r="AW66" s="1113"/>
      <c r="AX66" s="1114"/>
    </row>
    <row r="67" spans="12:50" ht="15.75" thickBot="1" x14ac:dyDescent="0.3">
      <c r="L67" s="27">
        <v>62.784452500151701</v>
      </c>
      <c r="M67" s="27">
        <v>25.39012045218</v>
      </c>
      <c r="N67" s="27">
        <v>17.276783018</v>
      </c>
      <c r="O67" s="27">
        <v>119.79233685106099</v>
      </c>
      <c r="P67" s="27">
        <v>15.477247201999999</v>
      </c>
    </row>
    <row r="68" spans="12:50" ht="15.75" thickBot="1" x14ac:dyDescent="0.3">
      <c r="L68" s="27">
        <v>109.16309200000001</v>
      </c>
      <c r="M68" s="27">
        <v>47.504266999999999</v>
      </c>
      <c r="N68" s="27">
        <v>26.581</v>
      </c>
      <c r="O68" s="27">
        <v>111.13891</v>
      </c>
      <c r="P68" s="27">
        <v>16.706</v>
      </c>
      <c r="AC68" s="33" t="s">
        <v>615</v>
      </c>
      <c r="AD68" s="526" t="s">
        <v>0</v>
      </c>
      <c r="AE68" s="31" t="s">
        <v>1</v>
      </c>
      <c r="AF68" s="31" t="s">
        <v>2</v>
      </c>
      <c r="AG68" s="31" t="s">
        <v>3</v>
      </c>
      <c r="AH68" s="31" t="s">
        <v>4</v>
      </c>
      <c r="AI68" s="31" t="s">
        <v>5</v>
      </c>
      <c r="AJ68" s="31" t="s">
        <v>6</v>
      </c>
      <c r="AK68" s="31" t="s">
        <v>7</v>
      </c>
      <c r="AL68" s="94" t="s">
        <v>27</v>
      </c>
      <c r="AM68" s="94" t="s">
        <v>9</v>
      </c>
      <c r="AN68" s="94" t="s">
        <v>10</v>
      </c>
      <c r="AO68" s="94" t="s">
        <v>11</v>
      </c>
      <c r="AP68" s="94" t="s">
        <v>12</v>
      </c>
      <c r="AQ68" s="94" t="s">
        <v>13</v>
      </c>
      <c r="AR68" s="94" t="s">
        <v>14</v>
      </c>
      <c r="AS68" s="94" t="s">
        <v>15</v>
      </c>
      <c r="AT68" s="35" t="s">
        <v>16</v>
      </c>
      <c r="AU68" s="35" t="s">
        <v>17</v>
      </c>
      <c r="AV68" s="35" t="s">
        <v>18</v>
      </c>
      <c r="AW68" s="35" t="s">
        <v>19</v>
      </c>
      <c r="AX68" s="369" t="s">
        <v>20</v>
      </c>
    </row>
    <row r="69" spans="12:50" x14ac:dyDescent="0.25">
      <c r="AC69" s="279" t="s">
        <v>34</v>
      </c>
      <c r="AD69" s="358">
        <f>'[15]2016. I. - Új'!B37+'[15]2016. I. - Új'!H37</f>
        <v>2347.5529999999999</v>
      </c>
      <c r="AE69" s="359">
        <f>'[15]2016. II. - Új'!B37+'[15]2016. II. - Új'!H37</f>
        <v>4856.6587440000003</v>
      </c>
      <c r="AF69" s="359">
        <f>'[15]2016. III. - Új'!B37+'[15]2016. III. - Új'!H37</f>
        <v>35484.455078999999</v>
      </c>
      <c r="AG69" s="359">
        <f>'[15]2016. IV. - Új'!B37+'[15]2016. IV. - Új'!H37</f>
        <v>86540.004106000008</v>
      </c>
      <c r="AH69" s="359">
        <f>'[15]2017. I. - Új'!B37+'[15]2017. I. - Új'!H37</f>
        <v>35505.234837999997</v>
      </c>
      <c r="AI69" s="359">
        <f>'[15]2017. II. - Új'!B37+'[15]2017. II. - Új'!H37</f>
        <v>12666.494439</v>
      </c>
      <c r="AJ69" s="359">
        <f>'[15]2017. III. - Új'!B37+'[15]2017. III. - Új'!H37</f>
        <v>5785.9058500000001</v>
      </c>
      <c r="AK69" s="359">
        <f>'[15]2017. IV. - Új'!B37+'[15]2017. IV. - Új'!H37</f>
        <v>11830.99847</v>
      </c>
      <c r="AL69" s="359">
        <f>'[15]2018. I. - Új_R'!B14+'[15]2018. I. - Új_R'!H14</f>
        <v>3093</v>
      </c>
      <c r="AM69" s="359">
        <f>'[15]2018. I. - Új_Ú'!B14+'[15]2018. I. - Új_Ú'!H14</f>
        <v>4687</v>
      </c>
      <c r="AN69" s="359">
        <f>'[15]2018. II. - Új_Ú'!B14+'[15]2018. II. - Új_Ú'!H14</f>
        <v>9074</v>
      </c>
      <c r="AO69" s="360">
        <f>'[15]2018. III. - Új_Ú'!B14+'[15]2018. III. - Új_Ú'!H14</f>
        <v>7527</v>
      </c>
      <c r="AP69" s="359">
        <f>'[15]2018. IV. - Új_Ú'!B14+'[15]2018. IV. - Új_Ú'!H14</f>
        <v>8115</v>
      </c>
      <c r="AQ69" s="539">
        <f>'[15]2019. I. - Új hitelek_ÚJ_JAVBB'!B17+'[15]2019. I. - Új hitelek_ÚJ_JAVBB'!J17</f>
        <v>8827</v>
      </c>
      <c r="AR69" s="539">
        <f>'[15]2019. II. - Új hitelek_ÚJ_JAVBB'!B17+'[15]2019. II. - Új hitelek_ÚJ_JAVBB'!J17</f>
        <v>8656</v>
      </c>
      <c r="AS69" s="539">
        <f>'[15]2019. III. - Új hitelek_ÚJ_JAVB'!B17+'[15]2019. III. - Új hitelek_ÚJ_JAVB'!J17</f>
        <v>10037</v>
      </c>
      <c r="AT69" s="359">
        <f>'[15]2019. IV. - Új hitelek'!B17+'[15]2019. IV. - Új hitelek'!J17</f>
        <v>9112</v>
      </c>
      <c r="AU69" s="359">
        <f>'[15]2020. I. - Új hitelek'!B18+'[15]2020. I. - Új hitelek'!J18</f>
        <v>6086</v>
      </c>
      <c r="AV69" s="359">
        <f>'[15]2020. II. - Új hitelek'!B18+'[15]2020. II. - Új hitelek'!J18</f>
        <v>11412</v>
      </c>
      <c r="AW69" s="359">
        <f>'[15]2020. III. Új hitelek'!B18+'[15]2020. III. Új hitelek'!J18</f>
        <v>10857</v>
      </c>
      <c r="AX69" s="443">
        <f>'[15]2020. IV. Új hitelek'!B18+'[15]2020. IV. Új hitelek'!J18</f>
        <v>12604</v>
      </c>
    </row>
    <row r="70" spans="12:50" ht="15.75" thickBot="1" x14ac:dyDescent="0.3">
      <c r="AC70" s="599" t="s">
        <v>35</v>
      </c>
      <c r="AD70" s="362">
        <f>'[15]2016. I. - Új'!B53+'[15]2016. I. - Új'!H53</f>
        <v>2856.6340000000005</v>
      </c>
      <c r="AE70" s="282">
        <f>'[15]2016. II. - Új'!B52+'[15]2016. II. - Új'!H52</f>
        <v>4858.6817250000004</v>
      </c>
      <c r="AF70" s="282">
        <f>'[15]2016. III. - Új'!B52+'[15]2016. III. - Új'!H52</f>
        <v>5555.0445899999995</v>
      </c>
      <c r="AG70" s="282">
        <f>'[15]2016. IV. - Új'!B52+'[15]2016. IV. - Új'!H52</f>
        <v>5190.6273000000001</v>
      </c>
      <c r="AH70" s="282">
        <f>'[15]2017. I. - Új'!B52+'[15]2017. I. - Új'!H52</f>
        <v>4801.3563480000003</v>
      </c>
      <c r="AI70" s="282">
        <f>'[15]2017. II. - Új'!B52+'[15]2017. II. - Új'!H52</f>
        <v>13040.703978000001</v>
      </c>
      <c r="AJ70" s="282">
        <f>'[15]2017. III. - Új'!B52+'[15]2017. III. - Új'!H52</f>
        <v>4072.9535609999998</v>
      </c>
      <c r="AK70" s="282">
        <f>'[15]2017. IV. - Új'!B52+'[15]2017. IV. - Új'!H52</f>
        <v>6188.7790000000005</v>
      </c>
      <c r="AL70" s="282">
        <f>'[15]2018. I. - Új_R'!B54+'[15]2018. I. - Új_R'!H54</f>
        <v>3575</v>
      </c>
      <c r="AM70" s="282">
        <f>'[15]2018. I. - Új_Ú'!B54+'[15]2018. I. - Új_Ú'!H54</f>
        <v>4460</v>
      </c>
      <c r="AN70" s="282">
        <f>'[15]2018. II. - Új_Ú'!B54+'[15]2018. II. - Új_Ú'!H54</f>
        <v>10583</v>
      </c>
      <c r="AO70" s="283">
        <f>'[15]2018. III. - Új_Ú'!B54+'[15]2018. III. - Új_Ú'!H54</f>
        <v>9604</v>
      </c>
      <c r="AP70" s="282">
        <f>'[15]2018. IV. - Új_Ú'!B54+'[15]2018. IV. - Új_Ú'!H54</f>
        <v>13504</v>
      </c>
      <c r="AQ70" s="540">
        <f>'[15]2019. I. - Új hitelek_ÚJ_JAVBB'!B59+'[15]2019. I. - Új hitelek_ÚJ_JAVBB'!J59</f>
        <v>11207</v>
      </c>
      <c r="AR70" s="540">
        <f>'[15]2019. II. - Új hitelek_ÚJ_JAVBB'!B59+'[15]2019. II. - Új hitelek_ÚJ_JAVBB'!J59</f>
        <v>14443</v>
      </c>
      <c r="AS70" s="540">
        <f>'[15]2019. III. - Új hitelek_ÚJ_JAVB'!B59+'[15]2019. III. - Új hitelek_ÚJ_JAVB'!J59</f>
        <v>16669</v>
      </c>
      <c r="AT70" s="282">
        <f>'[15]2019. IV. - Új hitelek'!B59+'[15]2019. IV. - Új hitelek'!J59</f>
        <v>11477</v>
      </c>
      <c r="AU70" s="282">
        <f>'[15]2020. I. - Új hitelek'!B65+'[15]2020. I. - Új hitelek'!J65</f>
        <v>9897</v>
      </c>
      <c r="AV70" s="282">
        <f>'[15]2020. II. - Új hitelek'!B65+'[15]2020. II. - Új hitelek'!J65</f>
        <v>21069</v>
      </c>
      <c r="AW70" s="282">
        <f>'[15]2020. III. Új hitelek'!B65+'[15]2020. III. Új hitelek'!J65</f>
        <v>22237</v>
      </c>
      <c r="AX70" s="445">
        <f>'[15]2020. IV. Új hitelek'!B65+'[15]2020. IV. Új hitelek'!J65</f>
        <v>31298</v>
      </c>
    </row>
    <row r="71" spans="12:50" x14ac:dyDescent="0.25">
      <c r="AC71" s="286" t="s">
        <v>302</v>
      </c>
      <c r="AD71" s="245">
        <f>AD69/AD73*100</f>
        <v>45.108928637652717</v>
      </c>
      <c r="AE71" s="220">
        <f>AE69/AE73*100</f>
        <v>49.989588728225968</v>
      </c>
      <c r="AF71" s="220">
        <f t="shared" ref="AF71:AX71" si="30">AF69/AF73*100</f>
        <v>86.464151281561286</v>
      </c>
      <c r="AG71" s="220">
        <f t="shared" si="30"/>
        <v>94.341446013789806</v>
      </c>
      <c r="AH71" s="220">
        <f t="shared" si="30"/>
        <v>88.087912654673474</v>
      </c>
      <c r="AI71" s="220">
        <f t="shared" si="30"/>
        <v>49.272169738355196</v>
      </c>
      <c r="AJ71" s="220">
        <f t="shared" si="30"/>
        <v>58.687375575559876</v>
      </c>
      <c r="AK71" s="220">
        <f t="shared" si="30"/>
        <v>65.655630263451854</v>
      </c>
      <c r="AL71" s="220">
        <f t="shared" si="30"/>
        <v>46.385722855428909</v>
      </c>
      <c r="AM71" s="220">
        <f t="shared" si="30"/>
        <v>51.240843992565864</v>
      </c>
      <c r="AN71" s="220">
        <f t="shared" si="30"/>
        <v>46.161672686574754</v>
      </c>
      <c r="AO71" s="220">
        <f t="shared" si="30"/>
        <v>43.937890374175467</v>
      </c>
      <c r="AP71" s="220">
        <f t="shared" si="30"/>
        <v>37.536426291687867</v>
      </c>
      <c r="AQ71" s="220">
        <f t="shared" si="30"/>
        <v>44.06009783368274</v>
      </c>
      <c r="AR71" s="220">
        <f t="shared" si="30"/>
        <v>37.4734837005931</v>
      </c>
      <c r="AS71" s="220">
        <f t="shared" si="30"/>
        <v>37.583314610948847</v>
      </c>
      <c r="AT71" s="220">
        <f t="shared" si="30"/>
        <v>44.256641896158143</v>
      </c>
      <c r="AU71" s="220">
        <f t="shared" si="30"/>
        <v>38.077957830194578</v>
      </c>
      <c r="AV71" s="220">
        <f t="shared" si="30"/>
        <v>35.134386256580768</v>
      </c>
      <c r="AW71" s="220">
        <f t="shared" si="30"/>
        <v>32.806551036441647</v>
      </c>
      <c r="AX71" s="220">
        <f t="shared" si="30"/>
        <v>28.709398205093162</v>
      </c>
    </row>
    <row r="72" spans="12:50" ht="15.75" thickBot="1" x14ac:dyDescent="0.3">
      <c r="AC72" s="290" t="s">
        <v>303</v>
      </c>
      <c r="AD72" s="365">
        <f>AD70/AD73*100</f>
        <v>54.89107136234729</v>
      </c>
      <c r="AE72" s="292">
        <f>AE70/AE73*100</f>
        <v>50.010411271774032</v>
      </c>
      <c r="AF72" s="292">
        <f t="shared" ref="AF72:AX72" si="31">AF70/AF73*100</f>
        <v>13.535848718438723</v>
      </c>
      <c r="AG72" s="292">
        <f t="shared" si="31"/>
        <v>5.6585539862102019</v>
      </c>
      <c r="AH72" s="292">
        <f t="shared" si="31"/>
        <v>11.912087345326521</v>
      </c>
      <c r="AI72" s="292">
        <f t="shared" si="31"/>
        <v>50.727830261644812</v>
      </c>
      <c r="AJ72" s="292">
        <f t="shared" si="31"/>
        <v>41.312624424440124</v>
      </c>
      <c r="AK72" s="292">
        <f t="shared" si="31"/>
        <v>34.344369736548138</v>
      </c>
      <c r="AL72" s="292">
        <f t="shared" si="31"/>
        <v>53.614277144571091</v>
      </c>
      <c r="AM72" s="292">
        <f t="shared" si="31"/>
        <v>48.759156007434129</v>
      </c>
      <c r="AN72" s="292">
        <f t="shared" si="31"/>
        <v>53.838327313425239</v>
      </c>
      <c r="AO72" s="292">
        <f t="shared" si="31"/>
        <v>56.062109625824533</v>
      </c>
      <c r="AP72" s="292">
        <f t="shared" si="31"/>
        <v>62.46357370831214</v>
      </c>
      <c r="AQ72" s="292">
        <f t="shared" si="31"/>
        <v>55.939902166317253</v>
      </c>
      <c r="AR72" s="292">
        <f t="shared" si="31"/>
        <v>62.5265162994069</v>
      </c>
      <c r="AS72" s="292">
        <f t="shared" si="31"/>
        <v>62.416685389051153</v>
      </c>
      <c r="AT72" s="292">
        <f t="shared" si="31"/>
        <v>55.743358103841857</v>
      </c>
      <c r="AU72" s="292">
        <f t="shared" si="31"/>
        <v>61.922042169805415</v>
      </c>
      <c r="AV72" s="292">
        <f t="shared" si="31"/>
        <v>64.865613743419232</v>
      </c>
      <c r="AW72" s="292">
        <f t="shared" si="31"/>
        <v>67.193448963558339</v>
      </c>
      <c r="AX72" s="292">
        <f t="shared" si="31"/>
        <v>71.290601794906834</v>
      </c>
    </row>
    <row r="73" spans="12:50" ht="15.75" thickBot="1" x14ac:dyDescent="0.3">
      <c r="AC73" s="294" t="s">
        <v>618</v>
      </c>
      <c r="AD73" s="370">
        <f>AD69+AD70</f>
        <v>5204.1869999999999</v>
      </c>
      <c r="AE73" s="371">
        <f>AE69+AE70</f>
        <v>9715.3404690000007</v>
      </c>
      <c r="AF73" s="371">
        <f t="shared" ref="AF73:AX73" si="32">AF69+AF70</f>
        <v>41039.499668999997</v>
      </c>
      <c r="AG73" s="371">
        <f t="shared" si="32"/>
        <v>91730.631406</v>
      </c>
      <c r="AH73" s="371">
        <f t="shared" si="32"/>
        <v>40306.591185999998</v>
      </c>
      <c r="AI73" s="371">
        <f t="shared" si="32"/>
        <v>25707.198417</v>
      </c>
      <c r="AJ73" s="371">
        <f t="shared" si="32"/>
        <v>9858.8594109999995</v>
      </c>
      <c r="AK73" s="371">
        <f t="shared" si="32"/>
        <v>18019.777470000001</v>
      </c>
      <c r="AL73" s="371">
        <f t="shared" si="32"/>
        <v>6668</v>
      </c>
      <c r="AM73" s="371">
        <f t="shared" si="32"/>
        <v>9147</v>
      </c>
      <c r="AN73" s="371">
        <f t="shared" si="32"/>
        <v>19657</v>
      </c>
      <c r="AO73" s="371">
        <f t="shared" si="32"/>
        <v>17131</v>
      </c>
      <c r="AP73" s="371">
        <f t="shared" si="32"/>
        <v>21619</v>
      </c>
      <c r="AQ73" s="371">
        <f t="shared" si="32"/>
        <v>20034</v>
      </c>
      <c r="AR73" s="371">
        <f t="shared" si="32"/>
        <v>23099</v>
      </c>
      <c r="AS73" s="371">
        <f t="shared" si="32"/>
        <v>26706</v>
      </c>
      <c r="AT73" s="371">
        <f t="shared" si="32"/>
        <v>20589</v>
      </c>
      <c r="AU73" s="371">
        <f t="shared" si="32"/>
        <v>15983</v>
      </c>
      <c r="AV73" s="371">
        <f t="shared" si="32"/>
        <v>32481</v>
      </c>
      <c r="AW73" s="371">
        <f t="shared" si="32"/>
        <v>33094</v>
      </c>
      <c r="AX73" s="371">
        <f t="shared" si="32"/>
        <v>43902</v>
      </c>
    </row>
    <row r="74" spans="12:50" ht="15.75" thickBot="1" x14ac:dyDescent="0.3">
      <c r="AC74" s="448" t="s">
        <v>619</v>
      </c>
      <c r="AD74" s="667">
        <f>AD73/AD75*100</f>
        <v>18.692126514653211</v>
      </c>
      <c r="AE74" s="289">
        <f t="shared" ref="AE74:AV74" si="33">AE73/AE75*100</f>
        <v>19.270871673268264</v>
      </c>
      <c r="AF74" s="289">
        <f t="shared" si="33"/>
        <v>43.297049242547509</v>
      </c>
      <c r="AG74" s="289">
        <f t="shared" si="33"/>
        <v>65.563007591435152</v>
      </c>
      <c r="AH74" s="289">
        <f t="shared" si="33"/>
        <v>36.284794604314548</v>
      </c>
      <c r="AI74" s="289">
        <f t="shared" si="33"/>
        <v>36.195251943694828</v>
      </c>
      <c r="AJ74" s="289">
        <f t="shared" si="33"/>
        <v>18.23757645262539</v>
      </c>
      <c r="AK74" s="289">
        <f t="shared" si="33"/>
        <v>27.288474046238754</v>
      </c>
      <c r="AL74" s="289">
        <f t="shared" si="33"/>
        <v>19.067216771693154</v>
      </c>
      <c r="AM74" s="289">
        <f t="shared" si="33"/>
        <v>24.418045915643351</v>
      </c>
      <c r="AN74" s="289">
        <f t="shared" si="33"/>
        <v>30.65036720565076</v>
      </c>
      <c r="AO74" s="289">
        <f t="shared" si="33"/>
        <v>24.65956527997697</v>
      </c>
      <c r="AP74" s="289">
        <f t="shared" si="33"/>
        <v>26.877937190740237</v>
      </c>
      <c r="AQ74" s="289">
        <f t="shared" si="33"/>
        <v>30.942452043369471</v>
      </c>
      <c r="AR74" s="220">
        <f t="shared" si="33"/>
        <v>30.686558439833146</v>
      </c>
      <c r="AS74" s="220">
        <f t="shared" si="33"/>
        <v>33.792658391223476</v>
      </c>
      <c r="AT74" s="220">
        <f t="shared" si="33"/>
        <v>26.758073948924554</v>
      </c>
      <c r="AU74" s="220">
        <f t="shared" si="33"/>
        <v>29.715911203658944</v>
      </c>
      <c r="AV74" s="220">
        <f t="shared" si="33"/>
        <v>41.153738945341203</v>
      </c>
      <c r="AW74" s="220">
        <f>AV73/AV75*100</f>
        <v>41.153738945341203</v>
      </c>
      <c r="AX74" s="220">
        <f>AW73/AW75*100</f>
        <v>30.911060880611235</v>
      </c>
    </row>
    <row r="75" spans="12:50" ht="15.75" thickBot="1" x14ac:dyDescent="0.3">
      <c r="AC75" s="452" t="s">
        <v>621</v>
      </c>
      <c r="AD75" s="370">
        <v>27841.599488</v>
      </c>
      <c r="AE75" s="371">
        <v>50414.639429500792</v>
      </c>
      <c r="AF75" s="371">
        <v>94785.904321329494</v>
      </c>
      <c r="AG75" s="371">
        <v>139912.17727172002</v>
      </c>
      <c r="AH75" s="371">
        <v>111083.97229622799</v>
      </c>
      <c r="AI75" s="371">
        <v>71023.675859446987</v>
      </c>
      <c r="AJ75" s="371">
        <v>54057.946989885095</v>
      </c>
      <c r="AK75" s="371">
        <v>66034.390341748396</v>
      </c>
      <c r="AL75" s="371">
        <v>34971.019</v>
      </c>
      <c r="AM75" s="371">
        <v>37460</v>
      </c>
      <c r="AN75" s="371">
        <v>64133</v>
      </c>
      <c r="AO75" s="371">
        <v>69470</v>
      </c>
      <c r="AP75" s="371">
        <v>80434</v>
      </c>
      <c r="AQ75" s="371">
        <v>64746</v>
      </c>
      <c r="AR75" s="371">
        <v>75274</v>
      </c>
      <c r="AS75" s="371">
        <v>79029</v>
      </c>
      <c r="AT75" s="371">
        <v>76945</v>
      </c>
      <c r="AU75" s="371">
        <v>53786</v>
      </c>
      <c r="AV75" s="371">
        <v>78926</v>
      </c>
      <c r="AW75" s="371">
        <v>107062</v>
      </c>
      <c r="AX75" s="447">
        <v>111060</v>
      </c>
    </row>
    <row r="76" spans="12:50" x14ac:dyDescent="0.25">
      <c r="AC76" s="25" t="s">
        <v>622</v>
      </c>
      <c r="AD76" s="398">
        <v>0</v>
      </c>
      <c r="AE76" s="232">
        <f>AE75/AD75*100-100</f>
        <v>81.076663541654625</v>
      </c>
      <c r="AF76" s="232">
        <f t="shared" ref="AF76:AX76" si="34">AF75/AE75*100-100</f>
        <v>88.012659405958715</v>
      </c>
      <c r="AG76" s="232">
        <f t="shared" si="34"/>
        <v>47.60863260576167</v>
      </c>
      <c r="AH76" s="232">
        <f t="shared" si="34"/>
        <v>-20.60450029271253</v>
      </c>
      <c r="AI76" s="232">
        <f t="shared" si="34"/>
        <v>-36.06307517519457</v>
      </c>
      <c r="AJ76" s="232">
        <f t="shared" si="34"/>
        <v>-23.88742720545244</v>
      </c>
      <c r="AK76" s="232">
        <f t="shared" si="34"/>
        <v>22.154824625700712</v>
      </c>
      <c r="AL76" s="232">
        <f t="shared" si="34"/>
        <v>-47.041202593051658</v>
      </c>
      <c r="AM76" s="232">
        <f t="shared" si="34"/>
        <v>7.1172675866265251</v>
      </c>
      <c r="AN76" s="232">
        <f t="shared" si="34"/>
        <v>71.203950880939658</v>
      </c>
      <c r="AO76" s="232">
        <f t="shared" si="34"/>
        <v>8.3217688241622909</v>
      </c>
      <c r="AP76" s="232">
        <f t="shared" si="34"/>
        <v>15.782352094429243</v>
      </c>
      <c r="AQ76" s="232">
        <f t="shared" si="34"/>
        <v>-19.50418977049506</v>
      </c>
      <c r="AR76" s="232">
        <f t="shared" si="34"/>
        <v>16.260463966885979</v>
      </c>
      <c r="AS76" s="232">
        <f t="shared" si="34"/>
        <v>4.9884422244068389</v>
      </c>
      <c r="AT76" s="232">
        <f t="shared" si="34"/>
        <v>-2.6370066684381754</v>
      </c>
      <c r="AU76" s="232">
        <f t="shared" si="34"/>
        <v>-30.098122035219959</v>
      </c>
      <c r="AV76" s="232">
        <f t="shared" si="34"/>
        <v>46.740787565537488</v>
      </c>
      <c r="AW76" s="232">
        <f t="shared" si="34"/>
        <v>35.648582216253203</v>
      </c>
      <c r="AX76" s="232">
        <f t="shared" si="34"/>
        <v>3.7342848069342978</v>
      </c>
    </row>
    <row r="77" spans="12:50" x14ac:dyDescent="0.25">
      <c r="AC77" s="15" t="s">
        <v>623</v>
      </c>
      <c r="AD77" s="13">
        <f>AD69/AD75*100</f>
        <v>8.4318180103546787</v>
      </c>
      <c r="AE77" s="14">
        <f t="shared" ref="AE77:AO77" si="35">AE69/AE75*100</f>
        <v>9.6334294938110023</v>
      </c>
      <c r="AF77" s="14">
        <f t="shared" si="35"/>
        <v>37.436426157528366</v>
      </c>
      <c r="AG77" s="14">
        <f t="shared" si="35"/>
        <v>61.853089411890707</v>
      </c>
      <c r="AH77" s="14">
        <f t="shared" si="35"/>
        <v>31.962518177976275</v>
      </c>
      <c r="AI77" s="14">
        <f t="shared" si="35"/>
        <v>17.834185974922626</v>
      </c>
      <c r="AJ77" s="14">
        <f t="shared" si="35"/>
        <v>10.703154988632132</v>
      </c>
      <c r="AK77" s="14">
        <f t="shared" si="35"/>
        <v>17.916419624336537</v>
      </c>
      <c r="AL77" s="14">
        <f t="shared" si="35"/>
        <v>8.844466327961447</v>
      </c>
      <c r="AM77" s="14">
        <f t="shared" si="35"/>
        <v>12.512012813667914</v>
      </c>
      <c r="AN77" s="14">
        <f t="shared" si="35"/>
        <v>14.148722186705754</v>
      </c>
      <c r="AO77" s="14">
        <f t="shared" si="35"/>
        <v>10.834892759464516</v>
      </c>
      <c r="AP77" s="14">
        <f>AP69/AP75*100</f>
        <v>10.08901708232837</v>
      </c>
      <c r="AQ77" s="14">
        <f>AQ69/AQ75*100</f>
        <v>13.633274642448953</v>
      </c>
      <c r="AR77" s="14">
        <f t="shared" ref="AR77:AX77" si="36">AR69/AR75*100</f>
        <v>11.499322475223849</v>
      </c>
      <c r="AS77" s="14">
        <f t="shared" si="36"/>
        <v>12.700401118576726</v>
      </c>
      <c r="AT77" s="14">
        <f t="shared" si="36"/>
        <v>11.842224965884723</v>
      </c>
      <c r="AU77" s="14">
        <f t="shared" si="36"/>
        <v>11.31521213698732</v>
      </c>
      <c r="AV77" s="14">
        <f t="shared" si="36"/>
        <v>14.459113600081089</v>
      </c>
      <c r="AW77" s="14">
        <f t="shared" si="36"/>
        <v>10.140852963703274</v>
      </c>
      <c r="AX77" s="14">
        <f t="shared" si="36"/>
        <v>11.34882045741041</v>
      </c>
    </row>
    <row r="78" spans="12:50" ht="15.75" thickBot="1" x14ac:dyDescent="0.3">
      <c r="AC78" s="15" t="s">
        <v>625</v>
      </c>
      <c r="AD78" s="402">
        <f>AD70/AD75*100</f>
        <v>10.260308504298532</v>
      </c>
      <c r="AE78" s="403">
        <f t="shared" ref="AE78:AO78" si="37">AE70/AE75*100</f>
        <v>9.6374421794572598</v>
      </c>
      <c r="AF78" s="403">
        <f t="shared" si="37"/>
        <v>5.8606230850191485</v>
      </c>
      <c r="AG78" s="403">
        <f t="shared" si="37"/>
        <v>3.7099181795444505</v>
      </c>
      <c r="AH78" s="403">
        <f t="shared" si="37"/>
        <v>4.3222764263382727</v>
      </c>
      <c r="AI78" s="403">
        <f t="shared" si="37"/>
        <v>18.361065968772206</v>
      </c>
      <c r="AJ78" s="403">
        <f t="shared" si="37"/>
        <v>7.5344214639932572</v>
      </c>
      <c r="AK78" s="403">
        <f t="shared" si="37"/>
        <v>9.3720544219022166</v>
      </c>
      <c r="AL78" s="403">
        <f t="shared" si="37"/>
        <v>10.222750443731709</v>
      </c>
      <c r="AM78" s="403">
        <f t="shared" si="37"/>
        <v>11.90603310197544</v>
      </c>
      <c r="AN78" s="403">
        <f t="shared" si="37"/>
        <v>16.501645018945005</v>
      </c>
      <c r="AO78" s="403">
        <f t="shared" si="37"/>
        <v>13.824672520512452</v>
      </c>
      <c r="AP78" s="403">
        <f>AP70/AP75*100</f>
        <v>16.788920108411865</v>
      </c>
      <c r="AQ78" s="403">
        <f>AQ70/AQ75*100</f>
        <v>17.309177400920518</v>
      </c>
      <c r="AR78" s="14">
        <f t="shared" ref="AR78:AX78" si="38">AR70/AR75*100</f>
        <v>19.187235964609293</v>
      </c>
      <c r="AS78" s="14">
        <f t="shared" si="38"/>
        <v>21.092257272646751</v>
      </c>
      <c r="AT78" s="14">
        <f t="shared" si="38"/>
        <v>14.915848983039833</v>
      </c>
      <c r="AU78" s="14">
        <f t="shared" si="38"/>
        <v>18.400699066671624</v>
      </c>
      <c r="AV78" s="14">
        <f t="shared" si="38"/>
        <v>26.694625345260114</v>
      </c>
      <c r="AW78" s="14">
        <f t="shared" si="38"/>
        <v>20.77020791690796</v>
      </c>
      <c r="AX78" s="14">
        <f t="shared" si="38"/>
        <v>28.181163335134162</v>
      </c>
    </row>
    <row r="79" spans="12:50" ht="15.75" thickBot="1" x14ac:dyDescent="0.3">
      <c r="AC79" s="325" t="s">
        <v>626</v>
      </c>
      <c r="AD79" s="755">
        <v>62193.925311419996</v>
      </c>
      <c r="AE79" s="407">
        <v>108568.87637264801</v>
      </c>
      <c r="AF79" s="407">
        <v>166253.9985131085</v>
      </c>
      <c r="AG79" s="407">
        <v>209161.5167353134</v>
      </c>
      <c r="AH79" s="407">
        <v>149873.78583328298</v>
      </c>
      <c r="AI79" s="407">
        <v>130679.75005093201</v>
      </c>
      <c r="AJ79" s="407">
        <v>124995.44976423301</v>
      </c>
      <c r="AK79" s="407">
        <v>137371.93986225341</v>
      </c>
      <c r="AL79" s="407">
        <v>75550.67300000001</v>
      </c>
      <c r="AM79" s="407">
        <v>78186</v>
      </c>
      <c r="AN79" s="407">
        <v>128921</v>
      </c>
      <c r="AO79" s="736">
        <v>145676</v>
      </c>
      <c r="AP79" s="736">
        <v>211565</v>
      </c>
      <c r="AQ79" s="736">
        <v>113830</v>
      </c>
      <c r="AR79" s="736">
        <v>127966</v>
      </c>
      <c r="AS79" s="736">
        <v>151465</v>
      </c>
      <c r="AT79" s="736">
        <v>169311</v>
      </c>
      <c r="AU79" s="736">
        <v>112042</v>
      </c>
      <c r="AV79" s="736">
        <v>128070</v>
      </c>
      <c r="AW79" s="736">
        <v>224947</v>
      </c>
      <c r="AX79" s="756">
        <v>204564</v>
      </c>
    </row>
    <row r="80" spans="12:50" ht="15.75" thickBot="1" x14ac:dyDescent="0.3">
      <c r="AC80" s="336" t="s">
        <v>628</v>
      </c>
      <c r="AD80" s="757">
        <f>AD73/AD75*100</f>
        <v>18.692126514653211</v>
      </c>
      <c r="AE80" s="11">
        <f t="shared" ref="AE80:AO80" si="39">AE73/AE75*100</f>
        <v>19.270871673268264</v>
      </c>
      <c r="AF80" s="11">
        <f t="shared" si="39"/>
        <v>43.297049242547509</v>
      </c>
      <c r="AG80" s="11">
        <f t="shared" si="39"/>
        <v>65.563007591435152</v>
      </c>
      <c r="AH80" s="11">
        <f t="shared" si="39"/>
        <v>36.284794604314548</v>
      </c>
      <c r="AI80" s="11">
        <f t="shared" si="39"/>
        <v>36.195251943694828</v>
      </c>
      <c r="AJ80" s="11">
        <f t="shared" si="39"/>
        <v>18.23757645262539</v>
      </c>
      <c r="AK80" s="11">
        <f t="shared" si="39"/>
        <v>27.288474046238754</v>
      </c>
      <c r="AL80" s="11">
        <f t="shared" si="39"/>
        <v>19.067216771693154</v>
      </c>
      <c r="AM80" s="11">
        <f t="shared" si="39"/>
        <v>24.418045915643351</v>
      </c>
      <c r="AN80" s="11">
        <f t="shared" si="39"/>
        <v>30.65036720565076</v>
      </c>
      <c r="AO80" s="11">
        <f t="shared" si="39"/>
        <v>24.65956527997697</v>
      </c>
      <c r="AP80" s="11">
        <f>AP73/AP75*100</f>
        <v>26.877937190740237</v>
      </c>
      <c r="AQ80" s="11">
        <f>AQ73/AQ75*100</f>
        <v>30.942452043369471</v>
      </c>
      <c r="AR80" s="10">
        <f t="shared" ref="AR80:AX80" si="40">AR73/AR75*100</f>
        <v>30.686558439833146</v>
      </c>
      <c r="AS80" s="10">
        <f t="shared" si="40"/>
        <v>33.792658391223476</v>
      </c>
      <c r="AT80" s="10">
        <f t="shared" si="40"/>
        <v>26.758073948924554</v>
      </c>
      <c r="AU80" s="10">
        <f t="shared" si="40"/>
        <v>29.715911203658944</v>
      </c>
      <c r="AV80" s="10">
        <f t="shared" si="40"/>
        <v>41.153738945341203</v>
      </c>
      <c r="AW80" s="10">
        <f t="shared" si="40"/>
        <v>30.911060880611235</v>
      </c>
      <c r="AX80" s="10">
        <f t="shared" si="40"/>
        <v>39.52998379254457</v>
      </c>
    </row>
    <row r="84" spans="4:50" ht="15.75" thickBot="1" x14ac:dyDescent="0.3"/>
    <row r="85" spans="4:50" ht="19.5" thickBot="1" x14ac:dyDescent="0.35">
      <c r="AC85" s="1112" t="s">
        <v>654</v>
      </c>
      <c r="AD85" s="1113"/>
      <c r="AE85" s="1113"/>
      <c r="AF85" s="1113"/>
      <c r="AG85" s="1113"/>
      <c r="AH85" s="1113"/>
      <c r="AI85" s="1113"/>
      <c r="AJ85" s="1113"/>
      <c r="AK85" s="1113"/>
      <c r="AL85" s="1113"/>
      <c r="AM85" s="1113"/>
      <c r="AN85" s="1113"/>
      <c r="AO85" s="1113"/>
      <c r="AP85" s="1113"/>
      <c r="AQ85" s="1113"/>
      <c r="AR85" s="1113"/>
      <c r="AS85" s="1113"/>
      <c r="AT85" s="1113"/>
      <c r="AU85" s="1113"/>
      <c r="AV85" s="1113"/>
      <c r="AW85" s="1113"/>
      <c r="AX85" s="1114"/>
    </row>
    <row r="86" spans="4:50" ht="15.75" thickBot="1" x14ac:dyDescent="0.3"/>
    <row r="87" spans="4:50" ht="15.75" thickBot="1" x14ac:dyDescent="0.3">
      <c r="AC87" s="525" t="s">
        <v>631</v>
      </c>
      <c r="AD87" s="526" t="s">
        <v>0</v>
      </c>
      <c r="AE87" s="31" t="s">
        <v>1</v>
      </c>
      <c r="AF87" s="31" t="s">
        <v>2</v>
      </c>
      <c r="AG87" s="31" t="s">
        <v>3</v>
      </c>
      <c r="AH87" s="31" t="s">
        <v>4</v>
      </c>
      <c r="AI87" s="31" t="s">
        <v>5</v>
      </c>
      <c r="AJ87" s="31" t="s">
        <v>6</v>
      </c>
      <c r="AK87" s="31" t="s">
        <v>7</v>
      </c>
      <c r="AL87" s="94" t="s">
        <v>27</v>
      </c>
      <c r="AM87" s="94" t="s">
        <v>9</v>
      </c>
      <c r="AN87" s="94" t="s">
        <v>10</v>
      </c>
      <c r="AO87" s="94" t="s">
        <v>11</v>
      </c>
      <c r="AP87" s="94" t="s">
        <v>12</v>
      </c>
      <c r="AQ87" s="94" t="s">
        <v>13</v>
      </c>
      <c r="AR87" s="94" t="s">
        <v>14</v>
      </c>
      <c r="AS87" s="94" t="s">
        <v>15</v>
      </c>
      <c r="AT87" s="35" t="s">
        <v>16</v>
      </c>
      <c r="AU87" s="35" t="s">
        <v>17</v>
      </c>
      <c r="AV87" s="35" t="s">
        <v>18</v>
      </c>
      <c r="AW87" s="35" t="s">
        <v>19</v>
      </c>
      <c r="AX87" s="369" t="s">
        <v>20</v>
      </c>
    </row>
    <row r="88" spans="4:50" x14ac:dyDescent="0.25">
      <c r="AC88" s="279" t="s">
        <v>34</v>
      </c>
      <c r="AD88" s="358">
        <f>'[15]2016. I. - Új'!B38+'[15]2016. I. - Új'!H38</f>
        <v>19.242000000000001</v>
      </c>
      <c r="AE88" s="359">
        <f>'[15]2016. II. - Új'!B38+'[15]2016. II. - Új'!H38</f>
        <v>8</v>
      </c>
      <c r="AF88" s="359">
        <f>'[15]2016. III. - Új'!B38+'[15]2016. III. - Új'!H38</f>
        <v>178.05199999999999</v>
      </c>
      <c r="AG88" s="359">
        <f>'[15]2016. IV. - Új'!B38+'[15]2016. IV. - Új'!H38</f>
        <v>528.81600000000003</v>
      </c>
      <c r="AH88" s="359">
        <f>'[15]2017. I. - Új'!B38+'[15]2017. I. - Új'!H38</f>
        <v>339.08292999999998</v>
      </c>
      <c r="AI88" s="359">
        <f>'[15]2017. II. - Új'!B38+'[15]2017. II. - Új'!H38</f>
        <v>15.661719999999999</v>
      </c>
      <c r="AJ88" s="359">
        <f>'[15]2017. III. - Új'!B38+'[15]2017. III. - Új'!H38</f>
        <v>33</v>
      </c>
      <c r="AK88" s="359">
        <f>'[15]2017. IV. - Új'!B38+'[15]2017. IV. - Új'!H38</f>
        <v>1.76</v>
      </c>
      <c r="AL88" s="359">
        <f>'[15]2018. I. - Új_R'!B29+'[15]2018. I. - Új_R'!H29</f>
        <v>18</v>
      </c>
      <c r="AM88" s="359">
        <f>'[15]2018. I. - Új_Ú'!B29+'[15]2018. I. - Új_Ú'!H29</f>
        <v>28</v>
      </c>
      <c r="AN88" s="359">
        <f>'[15]2018. II. - Új_Ú'!B29+'[15]2018. II. - Új_Ú'!H29</f>
        <v>23</v>
      </c>
      <c r="AO88" s="360">
        <f>'[15]2018. III. - Új_Ú'!B29+'[15]2018. III. - Új_Ú'!H29</f>
        <v>74</v>
      </c>
      <c r="AP88" s="359">
        <f>'[15]2018. IV. - Új_Ú'!B29+'[15]2018. IV. - Új_Ú'!H29</f>
        <v>228</v>
      </c>
      <c r="AQ88" s="539">
        <f>'[15]2019. I. - Új hitelek_ÚJ_JAVBB'!B32+'[15]2019. I. - Új hitelek_ÚJ_JAVBB'!J32</f>
        <v>153</v>
      </c>
      <c r="AR88" s="539">
        <f>'[15]2019. II. - Új hitelek_ÚJ_JAVBB'!B32+'[15]2019. II. - Új hitelek_ÚJ_JAVBB'!J32</f>
        <v>86</v>
      </c>
      <c r="AS88" s="539">
        <f>'[15]2019. III. - Új hitelek_ÚJ_JAVB'!B32+'[15]2019. III. - Új hitelek_ÚJ_JAVB'!J32</f>
        <v>53</v>
      </c>
      <c r="AT88" s="359">
        <f>'[15]2019. IV. - Új hitelek'!B32+'[15]2019. IV. - Új hitelek'!J32</f>
        <v>136</v>
      </c>
      <c r="AU88" s="359">
        <f>'[15]2020. I. - Új hitelek'!B34+'[15]2020. I. - Új hitelek'!J34</f>
        <v>153</v>
      </c>
      <c r="AV88" s="359">
        <f>'[15]2020. II. - Új hitelek'!B34+'[15]2020. II. - Új hitelek'!J34</f>
        <v>39</v>
      </c>
      <c r="AW88" s="359">
        <f>'[15]2020. III. Új hitelek'!B34+'[15]2020. III. Új hitelek'!J34</f>
        <v>86</v>
      </c>
      <c r="AX88" s="443">
        <f>'[15]2020. IV. Új hitelek'!B34+'[15]2020. IV. Új hitelek'!J34</f>
        <v>119</v>
      </c>
    </row>
    <row r="89" spans="4:50" ht="15.75" thickBot="1" x14ac:dyDescent="0.3">
      <c r="AC89" s="361" t="s">
        <v>35</v>
      </c>
      <c r="AD89" s="362">
        <f>'[15]2016. I. - Új'!B67+'[15]2016. I. - Új'!H67</f>
        <v>4403.6426404200001</v>
      </c>
      <c r="AE89" s="282">
        <f>'[15]2016. II. - Új'!B66+'[15]2016. II. - Új'!H66</f>
        <v>14350.2680271472</v>
      </c>
      <c r="AF89" s="282">
        <f>'[15]2016. III. - Új'!B66+'[15]2016. III. - Új'!H66</f>
        <v>11181.9292459685</v>
      </c>
      <c r="AG89" s="282">
        <f>'[15]2016. IV. - Új'!B66+'[15]2016. IV. - Új'!H66</f>
        <v>18125.111037397201</v>
      </c>
      <c r="AH89" s="282">
        <f>'[15]2017. I. - Új'!B66+'[15]2017. I. - Új'!H66</f>
        <v>8471.0669199750009</v>
      </c>
      <c r="AI89" s="282">
        <f>'[15]2017. II. - Új'!B66+'[15]2017. II. - Új'!H66</f>
        <v>25798.279077323801</v>
      </c>
      <c r="AJ89" s="282">
        <f>'[15]2017. III. - Új'!B66+'[15]2017. III. - Új'!H66</f>
        <v>11467.744528347899</v>
      </c>
      <c r="AK89" s="282">
        <f>'[15]2017. IV. - Új'!B66+'[15]2017. IV. - Új'!H66</f>
        <v>16657.857324504999</v>
      </c>
      <c r="AL89" s="282">
        <f>'[15]2018. I. - Új_R'!B69+'[15]2018. I. - Új_R'!H69</f>
        <v>10738.01</v>
      </c>
      <c r="AM89" s="282">
        <f>'[15]2018. I. - Új_Ú'!B69+'[15]2018. I. - Új_Ú'!H69</f>
        <v>10874</v>
      </c>
      <c r="AN89" s="282">
        <f>'[15]2018. II. - Új_Ú'!B69+'[15]2018. II. - Új_Ú'!H69</f>
        <v>19934</v>
      </c>
      <c r="AO89" s="283">
        <f>'[15]2018. III. - Új_Ú'!B69+'[15]2018. III. - Új_Ú'!H69</f>
        <v>12247</v>
      </c>
      <c r="AP89" s="282">
        <f>'[15]2018. IV. - Új_Ú'!B69+'[15]2018. IV. - Új_Ú'!H69</f>
        <v>67372</v>
      </c>
      <c r="AQ89" s="540">
        <f>'[15]2019. I. - Új hitelek_ÚJ_JAVBB'!B74+'[15]2019. I. - Új hitelek_ÚJ_JAVBB'!J74</f>
        <v>15780</v>
      </c>
      <c r="AR89" s="540">
        <f>'[15]2019. II. - Új hitelek_ÚJ_JAVBB'!B74+'[15]2019. II. - Új hitelek_ÚJ_JAVBB'!J74</f>
        <v>18844</v>
      </c>
      <c r="AS89" s="540">
        <f>'[15]2019. III. - Új hitelek_ÚJ_JAVB'!B74+'[15]2019. III. - Új hitelek_ÚJ_JAVB'!J74</f>
        <v>11398</v>
      </c>
      <c r="AT89" s="282">
        <f>'[15]2019. IV. - Új hitelek'!B74+'[15]2019. IV. - Új hitelek'!J74</f>
        <v>29110</v>
      </c>
      <c r="AU89" s="282">
        <f>'[15]2020. I. - Új hitelek'!B81+'[15]2020. I. - Új hitelek'!J81</f>
        <v>8975</v>
      </c>
      <c r="AV89" s="282">
        <f>'[15]2020. II. - Új hitelek'!B81+'[15]2020. II. - Új hitelek'!J81</f>
        <v>8133</v>
      </c>
      <c r="AW89" s="282">
        <f>'[15]2020. III. Új hitelek'!B81+'[15]2020. III. Új hitelek'!J81</f>
        <v>8081</v>
      </c>
      <c r="AX89" s="445">
        <f>'[15]2020. IV. Új hitelek'!B81+'[15]2020. IV. Új hitelek'!J81</f>
        <v>9224</v>
      </c>
    </row>
    <row r="90" spans="4:50" ht="15.75" thickBot="1" x14ac:dyDescent="0.3">
      <c r="E90" s="86"/>
      <c r="F90" s="86"/>
      <c r="G90" s="86"/>
      <c r="H90" s="86"/>
      <c r="I90" s="86"/>
      <c r="J90" s="86"/>
      <c r="K90" s="86"/>
      <c r="L90" s="86"/>
      <c r="M90" s="86"/>
      <c r="N90" s="86"/>
      <c r="O90" s="86"/>
      <c r="P90" s="86"/>
      <c r="Q90" s="86"/>
      <c r="R90" s="86"/>
      <c r="S90" s="86"/>
      <c r="T90" s="86"/>
      <c r="U90" s="86"/>
      <c r="V90" s="86"/>
      <c r="W90" s="86"/>
      <c r="X90" s="86"/>
      <c r="AC90" s="363" t="s">
        <v>302</v>
      </c>
      <c r="AD90" s="245">
        <f>AD88/AD92*100</f>
        <v>0.43505543473032493</v>
      </c>
      <c r="AE90" s="220">
        <f t="shared" ref="AE90:AP90" si="41">AE88/AE92*100</f>
        <v>5.5717026488671106E-2</v>
      </c>
      <c r="AF90" s="220">
        <f t="shared" si="41"/>
        <v>1.5673617424605184</v>
      </c>
      <c r="AG90" s="220">
        <f t="shared" si="41"/>
        <v>2.8348776048058686</v>
      </c>
      <c r="AH90" s="220">
        <f t="shared" si="41"/>
        <v>3.8487759660633025</v>
      </c>
      <c r="AI90" s="220">
        <f t="shared" si="41"/>
        <v>6.0671557756201609E-2</v>
      </c>
      <c r="AJ90" s="220">
        <f t="shared" si="41"/>
        <v>0.28693794491877567</v>
      </c>
      <c r="AK90" s="220">
        <f t="shared" si="41"/>
        <v>1.056446835313064E-2</v>
      </c>
      <c r="AL90" s="220">
        <f t="shared" si="41"/>
        <v>0.16734830108934448</v>
      </c>
      <c r="AM90" s="220">
        <f t="shared" si="41"/>
        <v>0.25683360851219961</v>
      </c>
      <c r="AN90" s="220">
        <f t="shared" si="41"/>
        <v>0.11524778273287568</v>
      </c>
      <c r="AO90" s="220">
        <f t="shared" si="41"/>
        <v>0.60060060060060061</v>
      </c>
      <c r="AP90" s="220">
        <f t="shared" si="41"/>
        <v>0.33727810650887574</v>
      </c>
      <c r="AQ90" s="220">
        <f>AQ88/AQ92*100</f>
        <v>0.96027113537940134</v>
      </c>
      <c r="AR90" s="220">
        <f t="shared" ref="AR90:AX90" si="42">AR88/AR92*100</f>
        <v>0.45430533544638141</v>
      </c>
      <c r="AS90" s="220">
        <f t="shared" si="42"/>
        <v>0.46284167321631303</v>
      </c>
      <c r="AT90" s="220">
        <f t="shared" si="42"/>
        <v>0.46502085755316963</v>
      </c>
      <c r="AU90" s="220">
        <f t="shared" si="42"/>
        <v>1.6761612620508328</v>
      </c>
      <c r="AV90" s="220">
        <f t="shared" si="42"/>
        <v>0.47723935389133626</v>
      </c>
      <c r="AW90" s="220">
        <f t="shared" si="42"/>
        <v>1.0530182441532998</v>
      </c>
      <c r="AX90" s="220">
        <f t="shared" si="42"/>
        <v>1.27368083056834</v>
      </c>
    </row>
    <row r="91" spans="4:50" ht="15.75" thickBot="1" x14ac:dyDescent="0.3">
      <c r="D91" s="1146" t="s">
        <v>83</v>
      </c>
      <c r="E91" s="1147"/>
      <c r="F91" s="1147"/>
      <c r="G91" s="1147"/>
      <c r="H91" s="1147"/>
      <c r="I91" s="1147"/>
      <c r="J91" s="1147"/>
      <c r="K91" s="1147"/>
      <c r="L91" s="1147"/>
      <c r="M91" s="1147"/>
      <c r="N91" s="1147"/>
      <c r="O91" s="1147"/>
      <c r="P91" s="1147"/>
      <c r="Q91" s="1147"/>
      <c r="R91" s="1147"/>
      <c r="S91" s="1147"/>
      <c r="T91" s="1147"/>
      <c r="U91" s="1147"/>
      <c r="V91" s="1147"/>
      <c r="W91" s="1147"/>
      <c r="X91" s="1147"/>
      <c r="Y91" s="1147"/>
      <c r="Z91" s="1148"/>
      <c r="AC91" s="364" t="s">
        <v>303</v>
      </c>
      <c r="AD91" s="365">
        <f>AD89/AD92*100</f>
        <v>99.56494456526967</v>
      </c>
      <c r="AE91" s="292">
        <f t="shared" ref="AE91:AX91" si="43">AE89/AE92*100</f>
        <v>99.944282973511335</v>
      </c>
      <c r="AF91" s="292">
        <f t="shared" si="43"/>
        <v>98.43263825753948</v>
      </c>
      <c r="AG91" s="292">
        <f t="shared" si="43"/>
        <v>97.165122395194132</v>
      </c>
      <c r="AH91" s="292">
        <f t="shared" si="43"/>
        <v>96.151224033936685</v>
      </c>
      <c r="AI91" s="292">
        <f t="shared" si="43"/>
        <v>99.939328442243806</v>
      </c>
      <c r="AJ91" s="292">
        <f t="shared" si="43"/>
        <v>99.713062055081224</v>
      </c>
      <c r="AK91" s="292">
        <f t="shared" si="43"/>
        <v>99.989435531646876</v>
      </c>
      <c r="AL91" s="292">
        <f t="shared" si="43"/>
        <v>99.832651698910652</v>
      </c>
      <c r="AM91" s="292">
        <f t="shared" si="43"/>
        <v>99.743166391487804</v>
      </c>
      <c r="AN91" s="292">
        <f t="shared" si="43"/>
        <v>99.88475221726712</v>
      </c>
      <c r="AO91" s="292">
        <f t="shared" si="43"/>
        <v>99.3993993993994</v>
      </c>
      <c r="AP91" s="292">
        <f t="shared" si="43"/>
        <v>99.662721893491124</v>
      </c>
      <c r="AQ91" s="292">
        <f t="shared" si="43"/>
        <v>99.039728864620599</v>
      </c>
      <c r="AR91" s="292">
        <f t="shared" si="43"/>
        <v>99.545694664553622</v>
      </c>
      <c r="AS91" s="292">
        <f t="shared" si="43"/>
        <v>99.537158326783697</v>
      </c>
      <c r="AT91" s="292">
        <f t="shared" si="43"/>
        <v>99.534979142446829</v>
      </c>
      <c r="AU91" s="292">
        <f t="shared" si="43"/>
        <v>98.32383873794916</v>
      </c>
      <c r="AV91" s="292">
        <f t="shared" si="43"/>
        <v>99.522760646108665</v>
      </c>
      <c r="AW91" s="292">
        <f t="shared" si="43"/>
        <v>98.946981755846693</v>
      </c>
      <c r="AX91" s="292">
        <f t="shared" si="43"/>
        <v>98.726319169431662</v>
      </c>
    </row>
    <row r="92" spans="4:50" ht="15.75" thickBot="1" x14ac:dyDescent="0.3">
      <c r="D92" t="s">
        <v>655</v>
      </c>
      <c r="F92" s="27">
        <v>86.683154717538002</v>
      </c>
      <c r="G92" s="27">
        <v>322.41957242723578</v>
      </c>
      <c r="H92" s="27">
        <v>123.51790871195868</v>
      </c>
      <c r="I92" s="27">
        <v>-56.059834574120693</v>
      </c>
      <c r="J92" s="27">
        <v>-36.220857034595667</v>
      </c>
      <c r="K92" s="27">
        <v>-61.649421103466487</v>
      </c>
      <c r="L92" s="27">
        <v>82.777507202247733</v>
      </c>
      <c r="M92" s="27">
        <v>-62.996213404404486</v>
      </c>
      <c r="N92" s="27">
        <v>37.177564487102586</v>
      </c>
      <c r="O92" s="27">
        <v>114.90106045698042</v>
      </c>
      <c r="P92" s="27">
        <v>-12.850384087093659</v>
      </c>
      <c r="Q92" s="27">
        <v>26.198120366586892</v>
      </c>
      <c r="R92" s="27">
        <v>-7.3315139460659537</v>
      </c>
      <c r="S92" s="27">
        <v>15.298991714086057</v>
      </c>
      <c r="T92" s="27">
        <v>15.615394605827078</v>
      </c>
      <c r="U92" s="27">
        <v>-22.904965176364868</v>
      </c>
      <c r="V92" s="27">
        <v>-22.371169070863075</v>
      </c>
      <c r="W92" s="27">
        <v>103.22217355940685</v>
      </c>
      <c r="X92" s="27">
        <v>1.8872571657276609</v>
      </c>
      <c r="AC92" s="345" t="s">
        <v>634</v>
      </c>
      <c r="AD92" s="370">
        <f>AD88+AD89</f>
        <v>4422.8846404200003</v>
      </c>
      <c r="AE92" s="371">
        <f t="shared" ref="AE92:AO92" si="44">AE88+AE89</f>
        <v>14358.2680271472</v>
      </c>
      <c r="AF92" s="371">
        <f t="shared" si="44"/>
        <v>11359.9812459685</v>
      </c>
      <c r="AG92" s="371">
        <f t="shared" si="44"/>
        <v>18653.927037397199</v>
      </c>
      <c r="AH92" s="371">
        <f t="shared" si="44"/>
        <v>8810.1498499750014</v>
      </c>
      <c r="AI92" s="371">
        <f t="shared" si="44"/>
        <v>25813.940797323801</v>
      </c>
      <c r="AJ92" s="371">
        <f t="shared" si="44"/>
        <v>11500.744528347899</v>
      </c>
      <c r="AK92" s="371">
        <f t="shared" si="44"/>
        <v>16659.617324504998</v>
      </c>
      <c r="AL92" s="371">
        <f t="shared" si="44"/>
        <v>10756.01</v>
      </c>
      <c r="AM92" s="371">
        <f t="shared" si="44"/>
        <v>10902</v>
      </c>
      <c r="AN92" s="371">
        <f t="shared" si="44"/>
        <v>19957</v>
      </c>
      <c r="AO92" s="371">
        <f t="shared" si="44"/>
        <v>12321</v>
      </c>
      <c r="AP92" s="371">
        <f>AP88+AP89</f>
        <v>67600</v>
      </c>
      <c r="AQ92" s="371">
        <f>AQ88+AQ89</f>
        <v>15933</v>
      </c>
      <c r="AR92" s="371">
        <f t="shared" ref="AR92:AX92" si="45">AR88+AR89</f>
        <v>18930</v>
      </c>
      <c r="AS92" s="371">
        <f t="shared" si="45"/>
        <v>11451</v>
      </c>
      <c r="AT92" s="371">
        <f t="shared" si="45"/>
        <v>29246</v>
      </c>
      <c r="AU92" s="371">
        <f t="shared" si="45"/>
        <v>9128</v>
      </c>
      <c r="AV92" s="371">
        <f t="shared" si="45"/>
        <v>8172</v>
      </c>
      <c r="AW92" s="371">
        <f t="shared" si="45"/>
        <v>8167</v>
      </c>
      <c r="AX92" s="371">
        <f t="shared" si="45"/>
        <v>9343</v>
      </c>
    </row>
    <row r="93" spans="4:50" ht="15.75" thickBot="1" x14ac:dyDescent="0.3">
      <c r="D93" s="87" t="s">
        <v>56</v>
      </c>
      <c r="E93" s="94" t="s">
        <v>0</v>
      </c>
      <c r="F93" s="94" t="s">
        <v>1</v>
      </c>
      <c r="G93" s="94" t="s">
        <v>2</v>
      </c>
      <c r="H93" s="94" t="s">
        <v>3</v>
      </c>
      <c r="I93" s="94" t="s">
        <v>4</v>
      </c>
      <c r="J93" s="94" t="s">
        <v>5</v>
      </c>
      <c r="K93" s="94" t="s">
        <v>6</v>
      </c>
      <c r="L93" s="94" t="s">
        <v>7</v>
      </c>
      <c r="M93" s="94" t="s">
        <v>27</v>
      </c>
      <c r="N93" s="94" t="s">
        <v>9</v>
      </c>
      <c r="O93" s="94" t="s">
        <v>10</v>
      </c>
      <c r="P93" s="94" t="s">
        <v>11</v>
      </c>
      <c r="Q93" s="94" t="s">
        <v>12</v>
      </c>
      <c r="R93" s="94" t="s">
        <v>13</v>
      </c>
      <c r="S93" s="94" t="s">
        <v>14</v>
      </c>
      <c r="T93" s="94" t="s">
        <v>15</v>
      </c>
      <c r="U93" s="94" t="s">
        <v>16</v>
      </c>
      <c r="V93" s="95" t="s">
        <v>17</v>
      </c>
      <c r="W93" s="94" t="s">
        <v>18</v>
      </c>
      <c r="X93" s="94" t="s">
        <v>19</v>
      </c>
      <c r="Y93" s="94" t="s">
        <v>20</v>
      </c>
      <c r="Z93" s="97" t="s">
        <v>201</v>
      </c>
      <c r="AC93" s="380" t="s">
        <v>635</v>
      </c>
      <c r="AD93" s="667">
        <f>AD92/AD94*100</f>
        <v>12.875066052746451</v>
      </c>
      <c r="AE93" s="289">
        <f t="shared" ref="AE93:AX93" si="46">AE92/AE94*100</f>
        <v>24.68997751820584</v>
      </c>
      <c r="AF93" s="289">
        <f t="shared" si="46"/>
        <v>15.895178645011699</v>
      </c>
      <c r="AG93" s="289">
        <f t="shared" si="46"/>
        <v>26.937335694305307</v>
      </c>
      <c r="AH93" s="289">
        <f t="shared" si="46"/>
        <v>22.712534675009127</v>
      </c>
      <c r="AI93" s="289">
        <f t="shared" si="46"/>
        <v>43.271269769555758</v>
      </c>
      <c r="AJ93" s="289">
        <f t="shared" si="46"/>
        <v>16.212502665806763</v>
      </c>
      <c r="AK93" s="289">
        <f t="shared" si="46"/>
        <v>23.353223423684351</v>
      </c>
      <c r="AL93" s="289">
        <f t="shared" si="46"/>
        <v>26.50591845854575</v>
      </c>
      <c r="AM93" s="289">
        <f t="shared" si="46"/>
        <v>26.769140107056916</v>
      </c>
      <c r="AN93" s="289">
        <f t="shared" si="46"/>
        <v>30.803543866148054</v>
      </c>
      <c r="AO93" s="289">
        <f t="shared" si="46"/>
        <v>16.168018266278246</v>
      </c>
      <c r="AP93" s="289">
        <f t="shared" si="46"/>
        <v>51.551501933181321</v>
      </c>
      <c r="AQ93" s="289">
        <f t="shared" si="46"/>
        <v>32.460679651210171</v>
      </c>
      <c r="AR93" s="220">
        <f t="shared" si="46"/>
        <v>35.925757230699155</v>
      </c>
      <c r="AS93" s="220">
        <f t="shared" si="46"/>
        <v>15.808219556304099</v>
      </c>
      <c r="AT93" s="220">
        <f t="shared" si="46"/>
        <v>31.663166100080115</v>
      </c>
      <c r="AU93" s="220">
        <f t="shared" si="46"/>
        <v>15.668772315297996</v>
      </c>
      <c r="AV93" s="220">
        <f t="shared" si="46"/>
        <v>16.628344694272052</v>
      </c>
      <c r="AW93" s="220">
        <f t="shared" si="46"/>
        <v>6.9279382448996909</v>
      </c>
      <c r="AX93" s="220">
        <f t="shared" si="46"/>
        <v>9.9920859000684459</v>
      </c>
    </row>
    <row r="94" spans="4:50" ht="15.75" thickBot="1" x14ac:dyDescent="0.3">
      <c r="D94" s="758" t="s">
        <v>34</v>
      </c>
      <c r="E94" s="63"/>
      <c r="F94" s="63"/>
      <c r="G94" s="63"/>
      <c r="H94" s="63"/>
      <c r="I94" s="63"/>
      <c r="J94" s="63"/>
      <c r="K94" s="63"/>
      <c r="L94" s="63"/>
      <c r="M94" s="63"/>
      <c r="N94" s="63"/>
      <c r="O94" s="63"/>
      <c r="P94" s="63"/>
      <c r="Q94" s="63"/>
      <c r="R94" s="80"/>
      <c r="S94" s="468"/>
      <c r="T94" s="468"/>
      <c r="U94" s="80"/>
      <c r="V94" s="468"/>
      <c r="W94" s="468"/>
      <c r="X94" s="468"/>
      <c r="Y94" s="80"/>
      <c r="Z94" s="759"/>
      <c r="AC94" s="345" t="s">
        <v>636</v>
      </c>
      <c r="AD94" s="370">
        <v>34352.325823419997</v>
      </c>
      <c r="AE94" s="371">
        <v>58154.236943147211</v>
      </c>
      <c r="AF94" s="371">
        <v>71468.09419177899</v>
      </c>
      <c r="AG94" s="371">
        <v>69249.339463593409</v>
      </c>
      <c r="AH94" s="371">
        <v>38789.813537055001</v>
      </c>
      <c r="AI94" s="371">
        <v>59656.074191484993</v>
      </c>
      <c r="AJ94" s="371">
        <v>70937.5027743479</v>
      </c>
      <c r="AK94" s="371">
        <v>71337.549520504996</v>
      </c>
      <c r="AL94" s="371">
        <v>40579.654000000002</v>
      </c>
      <c r="AM94" s="371">
        <v>40726</v>
      </c>
      <c r="AN94" s="371">
        <v>64788</v>
      </c>
      <c r="AO94" s="371">
        <v>76206</v>
      </c>
      <c r="AP94" s="371">
        <v>131131</v>
      </c>
      <c r="AQ94" s="371">
        <v>49084</v>
      </c>
      <c r="AR94" s="371">
        <v>52692</v>
      </c>
      <c r="AS94" s="371">
        <v>72437</v>
      </c>
      <c r="AT94" s="371">
        <v>92366</v>
      </c>
      <c r="AU94" s="371">
        <v>58256</v>
      </c>
      <c r="AV94" s="371">
        <v>49145</v>
      </c>
      <c r="AW94" s="371">
        <v>117885</v>
      </c>
      <c r="AX94" s="447">
        <v>93504</v>
      </c>
    </row>
    <row r="95" spans="4:50" x14ac:dyDescent="0.25">
      <c r="D95" s="758" t="s">
        <v>35</v>
      </c>
      <c r="E95" s="63"/>
      <c r="F95" s="63"/>
      <c r="G95" s="63"/>
      <c r="H95" s="63"/>
      <c r="I95" s="63"/>
      <c r="J95" s="63"/>
      <c r="K95" s="63"/>
      <c r="L95" s="63"/>
      <c r="M95" s="521"/>
      <c r="N95" s="63"/>
      <c r="O95" s="63"/>
      <c r="P95" s="63"/>
      <c r="Q95" s="63"/>
      <c r="R95" s="63"/>
      <c r="S95" s="618"/>
      <c r="T95" s="618"/>
      <c r="U95" s="63"/>
      <c r="V95" s="618"/>
      <c r="W95" s="618"/>
      <c r="X95" s="618"/>
      <c r="Y95" s="63"/>
      <c r="Z95" s="760"/>
      <c r="AC95" s="25" t="s">
        <v>637</v>
      </c>
      <c r="AD95" s="398">
        <v>0</v>
      </c>
      <c r="AE95" s="232">
        <f>AE92/AD92*100-100</f>
        <v>224.63582468168846</v>
      </c>
      <c r="AF95" s="232">
        <f>AF92/AE92*100-100</f>
        <v>-20.881953000945757</v>
      </c>
      <c r="AG95" s="232">
        <f t="shared" ref="AG95:AO95" si="47">AG92/AF92*100-100</f>
        <v>64.207375289613452</v>
      </c>
      <c r="AH95" s="232">
        <f t="shared" si="47"/>
        <v>-52.770535489323485</v>
      </c>
      <c r="AI95" s="232">
        <f t="shared" si="47"/>
        <v>193.0022898236748</v>
      </c>
      <c r="AJ95" s="232">
        <f t="shared" si="47"/>
        <v>-55.447544337979529</v>
      </c>
      <c r="AK95" s="232">
        <f t="shared" si="47"/>
        <v>44.856859340202902</v>
      </c>
      <c r="AL95" s="232">
        <f t="shared" si="47"/>
        <v>-35.436632243774596</v>
      </c>
      <c r="AM95" s="232">
        <f t="shared" si="47"/>
        <v>1.3572876931129656</v>
      </c>
      <c r="AN95" s="232">
        <f t="shared" si="47"/>
        <v>83.058154467070267</v>
      </c>
      <c r="AO95" s="232">
        <f t="shared" si="47"/>
        <v>-38.262263867314729</v>
      </c>
      <c r="AP95" s="232">
        <f>AP92/AO92*100-100</f>
        <v>448.65676487298117</v>
      </c>
      <c r="AQ95" s="232">
        <f>AQ92/AP92*100-100</f>
        <v>-76.430473372781066</v>
      </c>
      <c r="AR95" s="232">
        <f t="shared" ref="AR95:AX95" si="48">AR94/AQ94*100-100</f>
        <v>7.3506641675494961</v>
      </c>
      <c r="AS95" s="232">
        <f t="shared" si="48"/>
        <v>37.472481591133402</v>
      </c>
      <c r="AT95" s="232">
        <f t="shared" si="48"/>
        <v>27.512183000400341</v>
      </c>
      <c r="AU95" s="232">
        <f t="shared" si="48"/>
        <v>-36.929173072342635</v>
      </c>
      <c r="AV95" s="232">
        <f t="shared" si="48"/>
        <v>-15.639590771765995</v>
      </c>
      <c r="AW95" s="232">
        <f t="shared" si="48"/>
        <v>139.87180791535252</v>
      </c>
      <c r="AX95" s="232">
        <f t="shared" si="48"/>
        <v>-20.682020613309575</v>
      </c>
    </row>
    <row r="96" spans="4:50" ht="15.75" thickBot="1" x14ac:dyDescent="0.3">
      <c r="D96" s="88" t="s">
        <v>84</v>
      </c>
      <c r="E96" s="89">
        <v>5.2041870000000001</v>
      </c>
      <c r="F96" s="89">
        <v>9.7153404689999991</v>
      </c>
      <c r="G96" s="89">
        <v>41.039499669000001</v>
      </c>
      <c r="H96" s="89">
        <v>91.730631406000001</v>
      </c>
      <c r="I96" s="89">
        <v>40.306591185999999</v>
      </c>
      <c r="J96" s="89">
        <v>25.707198417000001</v>
      </c>
      <c r="K96" s="89">
        <v>9.8588594109999992</v>
      </c>
      <c r="L96" s="89">
        <v>18.019777470000001</v>
      </c>
      <c r="M96" s="89">
        <v>6.6680000000000001</v>
      </c>
      <c r="N96" s="89">
        <v>9.1470000000000002</v>
      </c>
      <c r="O96" s="89">
        <v>19.657</v>
      </c>
      <c r="P96" s="89">
        <v>17.131</v>
      </c>
      <c r="Q96" s="89">
        <v>21.619</v>
      </c>
      <c r="R96" s="89">
        <v>20.033999999999999</v>
      </c>
      <c r="S96" s="90">
        <v>23.099</v>
      </c>
      <c r="T96" s="90">
        <v>26.706</v>
      </c>
      <c r="U96" s="89">
        <v>20.588999999999999</v>
      </c>
      <c r="V96" s="90">
        <v>15.983000000000001</v>
      </c>
      <c r="W96" s="90">
        <v>32.481000000000002</v>
      </c>
      <c r="X96" s="90">
        <v>33.094000000000001</v>
      </c>
      <c r="Y96" s="89">
        <v>43.902000000000001</v>
      </c>
      <c r="Z96" s="92">
        <v>24.071000000000002</v>
      </c>
      <c r="AC96" s="401" t="s">
        <v>326</v>
      </c>
      <c r="AD96" s="13">
        <f>AD88/AD94*100</f>
        <v>5.601367458759255E-2</v>
      </c>
      <c r="AE96" s="14">
        <f t="shared" ref="AE96:AO96" si="49">AE88/AE94*100</f>
        <v>1.3756521313865688E-2</v>
      </c>
      <c r="AF96" s="14">
        <f t="shared" si="49"/>
        <v>0.24913494897766758</v>
      </c>
      <c r="AG96" s="14">
        <f t="shared" si="49"/>
        <v>0.76364049692923863</v>
      </c>
      <c r="AH96" s="14">
        <f t="shared" si="49"/>
        <v>0.87415457585554512</v>
      </c>
      <c r="AI96" s="14">
        <f t="shared" si="49"/>
        <v>2.6253353430077828E-2</v>
      </c>
      <c r="AJ96" s="14">
        <f t="shared" si="49"/>
        <v>4.6519821969167645E-2</v>
      </c>
      <c r="AK96" s="14">
        <f t="shared" si="49"/>
        <v>2.4671438980310252E-3</v>
      </c>
      <c r="AL96" s="14">
        <f t="shared" si="49"/>
        <v>4.4357204228503276E-2</v>
      </c>
      <c r="AM96" s="14">
        <f t="shared" si="49"/>
        <v>6.8752148504640773E-2</v>
      </c>
      <c r="AN96" s="14">
        <f t="shared" si="49"/>
        <v>3.5500401308884363E-2</v>
      </c>
      <c r="AO96" s="14">
        <f t="shared" si="49"/>
        <v>9.7105214812481966E-2</v>
      </c>
      <c r="AP96" s="14">
        <f>AP88/AP94*100</f>
        <v>0.17387192959712044</v>
      </c>
      <c r="AQ96" s="14">
        <f>AQ88/AQ94*100</f>
        <v>0.31171053703854618</v>
      </c>
      <c r="AR96" s="14">
        <f t="shared" ref="AR96:AX96" si="50">AR88/AR94*100</f>
        <v>0.16321263189858043</v>
      </c>
      <c r="AS96" s="14">
        <f t="shared" si="50"/>
        <v>7.3167027900106291E-2</v>
      </c>
      <c r="AT96" s="14">
        <f t="shared" si="50"/>
        <v>0.14724032652707705</v>
      </c>
      <c r="AU96" s="14">
        <f t="shared" si="50"/>
        <v>0.26263389178797036</v>
      </c>
      <c r="AV96" s="14">
        <f t="shared" si="50"/>
        <v>7.9357004781768242E-2</v>
      </c>
      <c r="AW96" s="14">
        <f t="shared" si="50"/>
        <v>7.2952453662467664E-2</v>
      </c>
      <c r="AX96" s="14">
        <f t="shared" si="50"/>
        <v>0.12726728268309379</v>
      </c>
    </row>
    <row r="97" spans="4:50" ht="15.75" thickBot="1" x14ac:dyDescent="0.3">
      <c r="F97" s="27">
        <f>F101/E101*100-100</f>
        <v>120.10119771165867</v>
      </c>
      <c r="G97" s="27">
        <f t="shared" ref="G97:Y97" si="51">G101/F101*100-100</f>
        <v>25.893436666036379</v>
      </c>
      <c r="H97" s="27">
        <f t="shared" si="51"/>
        <v>-23.137596245639088</v>
      </c>
      <c r="I97" s="27">
        <f t="shared" si="51"/>
        <v>321.30603872403219</v>
      </c>
      <c r="J97" s="27">
        <f t="shared" si="51"/>
        <v>-75.224207806717146</v>
      </c>
      <c r="K97" s="27">
        <f t="shared" si="51"/>
        <v>-20.929991555319702</v>
      </c>
      <c r="L97" s="27">
        <f t="shared" si="51"/>
        <v>7.4659764778119779</v>
      </c>
      <c r="M97" s="27">
        <f t="shared" si="51"/>
        <v>-47.997436814959251</v>
      </c>
      <c r="N97" s="27">
        <f t="shared" si="51"/>
        <v>76.228644677242244</v>
      </c>
      <c r="O97" s="27">
        <f t="shared" si="51"/>
        <v>-19.274977895667547</v>
      </c>
      <c r="P97" s="27">
        <f t="shared" si="51"/>
        <v>67.907995618838981</v>
      </c>
      <c r="Q97" s="27">
        <f t="shared" si="51"/>
        <v>11.205334493005708</v>
      </c>
      <c r="R97" s="27">
        <f t="shared" si="51"/>
        <v>-33.657042299419928</v>
      </c>
      <c r="S97" s="27">
        <f t="shared" si="51"/>
        <v>55.496610669024449</v>
      </c>
      <c r="T97" s="27">
        <f t="shared" si="51"/>
        <v>-35.456153651756381</v>
      </c>
      <c r="U97" s="27">
        <f t="shared" si="51"/>
        <v>-10.552075176194194</v>
      </c>
      <c r="V97" s="27">
        <f t="shared" si="51"/>
        <v>-44.386080105055811</v>
      </c>
      <c r="W97" s="27">
        <f t="shared" si="51"/>
        <v>158.38252656434474</v>
      </c>
      <c r="X97" s="27">
        <f>X101/W101*100-100</f>
        <v>123.92049348869088</v>
      </c>
      <c r="Y97" s="27">
        <f t="shared" si="51"/>
        <v>-12.342277998843656</v>
      </c>
      <c r="AC97" s="741" t="s">
        <v>327</v>
      </c>
      <c r="AD97" s="402">
        <f>AD89/AD94*100-100</f>
        <v>-87.180947621841142</v>
      </c>
      <c r="AE97" s="403">
        <f t="shared" ref="AE97:AO97" si="52">AE89/AE94*100-100</f>
        <v>-75.323779003108029</v>
      </c>
      <c r="AF97" s="403">
        <f t="shared" si="52"/>
        <v>-84.353956303965973</v>
      </c>
      <c r="AG97" s="403">
        <f t="shared" si="52"/>
        <v>-73.826304802623923</v>
      </c>
      <c r="AH97" s="403">
        <f t="shared" si="52"/>
        <v>-78.161619900846418</v>
      </c>
      <c r="AI97" s="403">
        <f t="shared" si="52"/>
        <v>-56.754983583874321</v>
      </c>
      <c r="AJ97" s="403">
        <f t="shared" si="52"/>
        <v>-83.834017156162403</v>
      </c>
      <c r="AK97" s="403">
        <f t="shared" si="52"/>
        <v>-76.649243720213676</v>
      </c>
      <c r="AL97" s="403">
        <f t="shared" si="52"/>
        <v>-73.538438745682754</v>
      </c>
      <c r="AM97" s="403">
        <f t="shared" si="52"/>
        <v>-73.29961204144773</v>
      </c>
      <c r="AN97" s="403">
        <f t="shared" si="52"/>
        <v>-69.231956535160833</v>
      </c>
      <c r="AO97" s="403">
        <f t="shared" si="52"/>
        <v>-83.929086948534234</v>
      </c>
      <c r="AP97" s="403">
        <f>AP89/AP94*100-100</f>
        <v>-48.622369996415792</v>
      </c>
      <c r="AQ97" s="403">
        <f>AQ89/AQ94*100-100</f>
        <v>-67.851030885828379</v>
      </c>
      <c r="AR97" s="14">
        <f t="shared" ref="AR97:AX97" si="53">AR89/AR94*100</f>
        <v>35.762544598800581</v>
      </c>
      <c r="AS97" s="14">
        <f t="shared" si="53"/>
        <v>15.735052528403992</v>
      </c>
      <c r="AT97" s="14">
        <f t="shared" si="53"/>
        <v>31.51592577355304</v>
      </c>
      <c r="AU97" s="14">
        <f t="shared" si="53"/>
        <v>15.406138423510024</v>
      </c>
      <c r="AV97" s="14">
        <f t="shared" si="53"/>
        <v>16.548987689490282</v>
      </c>
      <c r="AW97" s="14">
        <f t="shared" si="53"/>
        <v>6.8549857912372225</v>
      </c>
      <c r="AX97" s="14">
        <f t="shared" si="53"/>
        <v>9.8648186173853531</v>
      </c>
    </row>
    <row r="98" spans="4:50" ht="15.75" thickBot="1" x14ac:dyDescent="0.3">
      <c r="D98" s="761" t="s">
        <v>62</v>
      </c>
      <c r="E98" s="94" t="s">
        <v>0</v>
      </c>
      <c r="F98" s="94" t="s">
        <v>1</v>
      </c>
      <c r="G98" s="94" t="s">
        <v>2</v>
      </c>
      <c r="H98" s="94" t="s">
        <v>3</v>
      </c>
      <c r="I98" s="94" t="s">
        <v>4</v>
      </c>
      <c r="J98" s="94" t="s">
        <v>5</v>
      </c>
      <c r="K98" s="94" t="s">
        <v>6</v>
      </c>
      <c r="L98" s="94" t="s">
        <v>7</v>
      </c>
      <c r="M98" s="94" t="s">
        <v>27</v>
      </c>
      <c r="N98" s="94" t="s">
        <v>9</v>
      </c>
      <c r="O98" s="94" t="s">
        <v>10</v>
      </c>
      <c r="P98" s="94" t="s">
        <v>11</v>
      </c>
      <c r="Q98" s="94" t="s">
        <v>12</v>
      </c>
      <c r="R98" s="94" t="s">
        <v>13</v>
      </c>
      <c r="S98" s="94" t="s">
        <v>14</v>
      </c>
      <c r="T98" s="94" t="s">
        <v>15</v>
      </c>
      <c r="U98" s="94" t="s">
        <v>16</v>
      </c>
      <c r="V98" s="95" t="s">
        <v>17</v>
      </c>
      <c r="W98" s="94" t="s">
        <v>18</v>
      </c>
      <c r="X98" s="94" t="s">
        <v>19</v>
      </c>
      <c r="Y98" s="94" t="s">
        <v>20</v>
      </c>
      <c r="Z98" s="172" t="s">
        <v>201</v>
      </c>
      <c r="AC98" s="742" t="s">
        <v>626</v>
      </c>
      <c r="AD98" s="755">
        <v>62193.925311419996</v>
      </c>
      <c r="AE98" s="407">
        <v>108568.87637264801</v>
      </c>
      <c r="AF98" s="407">
        <v>166253.9985131085</v>
      </c>
      <c r="AG98" s="407">
        <v>209161.5167353134</v>
      </c>
      <c r="AH98" s="407">
        <v>149873.78583328298</v>
      </c>
      <c r="AI98" s="407">
        <v>130679.75005093201</v>
      </c>
      <c r="AJ98" s="407">
        <v>124995.44976423301</v>
      </c>
      <c r="AK98" s="407">
        <v>137371.93986225341</v>
      </c>
      <c r="AL98" s="407">
        <v>75550.67300000001</v>
      </c>
      <c r="AM98" s="407">
        <v>78186</v>
      </c>
      <c r="AN98" s="407">
        <v>128921</v>
      </c>
      <c r="AO98" s="736">
        <v>145676</v>
      </c>
      <c r="AP98" s="736">
        <v>211565</v>
      </c>
      <c r="AQ98" s="736">
        <v>113830</v>
      </c>
      <c r="AR98" s="736">
        <v>127966</v>
      </c>
      <c r="AS98" s="736">
        <v>151465</v>
      </c>
      <c r="AT98" s="736">
        <v>169311</v>
      </c>
      <c r="AU98" s="736">
        <v>112042</v>
      </c>
      <c r="AV98" s="736">
        <v>128070</v>
      </c>
      <c r="AW98" s="736">
        <v>224947</v>
      </c>
      <c r="AX98" s="756">
        <v>204564</v>
      </c>
    </row>
    <row r="99" spans="4:50" ht="15.75" thickBot="1" x14ac:dyDescent="0.3">
      <c r="D99" s="758" t="s">
        <v>34</v>
      </c>
      <c r="E99" s="63"/>
      <c r="F99" s="63"/>
      <c r="G99" s="63"/>
      <c r="H99" s="63"/>
      <c r="I99" s="63"/>
      <c r="J99" s="63"/>
      <c r="K99" s="63"/>
      <c r="L99" s="63"/>
      <c r="M99" s="63"/>
      <c r="N99" s="63"/>
      <c r="O99" s="63"/>
      <c r="P99" s="63"/>
      <c r="Q99" s="63"/>
      <c r="R99" s="80"/>
      <c r="S99" s="468"/>
      <c r="T99" s="468"/>
      <c r="U99" s="80"/>
      <c r="V99" s="468"/>
      <c r="W99" s="468"/>
      <c r="X99" s="468"/>
      <c r="Y99" s="80"/>
      <c r="Z99" s="762"/>
      <c r="AC99" s="412" t="s">
        <v>639</v>
      </c>
      <c r="AD99" s="757">
        <f>AD92/AD94*100</f>
        <v>12.875066052746451</v>
      </c>
      <c r="AE99" s="11">
        <f t="shared" ref="AE99:AX99" si="54">AE92/AE94*100</f>
        <v>24.68997751820584</v>
      </c>
      <c r="AF99" s="11">
        <f t="shared" si="54"/>
        <v>15.895178645011699</v>
      </c>
      <c r="AG99" s="11">
        <f t="shared" si="54"/>
        <v>26.937335694305307</v>
      </c>
      <c r="AH99" s="11">
        <f t="shared" si="54"/>
        <v>22.712534675009127</v>
      </c>
      <c r="AI99" s="11">
        <f t="shared" si="54"/>
        <v>43.271269769555758</v>
      </c>
      <c r="AJ99" s="11">
        <f t="shared" si="54"/>
        <v>16.212502665806763</v>
      </c>
      <c r="AK99" s="11">
        <f t="shared" si="54"/>
        <v>23.353223423684351</v>
      </c>
      <c r="AL99" s="11">
        <f t="shared" si="54"/>
        <v>26.50591845854575</v>
      </c>
      <c r="AM99" s="11">
        <f t="shared" si="54"/>
        <v>26.769140107056916</v>
      </c>
      <c r="AN99" s="11">
        <f t="shared" si="54"/>
        <v>30.803543866148054</v>
      </c>
      <c r="AO99" s="11">
        <f t="shared" si="54"/>
        <v>16.168018266278246</v>
      </c>
      <c r="AP99" s="11">
        <f t="shared" si="54"/>
        <v>51.551501933181321</v>
      </c>
      <c r="AQ99" s="11">
        <f t="shared" si="54"/>
        <v>32.460679651210171</v>
      </c>
      <c r="AR99" s="10">
        <f t="shared" si="54"/>
        <v>35.925757230699155</v>
      </c>
      <c r="AS99" s="10">
        <f t="shared" si="54"/>
        <v>15.808219556304099</v>
      </c>
      <c r="AT99" s="10">
        <f t="shared" si="54"/>
        <v>31.663166100080115</v>
      </c>
      <c r="AU99" s="10">
        <f t="shared" si="54"/>
        <v>15.668772315297996</v>
      </c>
      <c r="AV99" s="10">
        <f t="shared" si="54"/>
        <v>16.628344694272052</v>
      </c>
      <c r="AW99" s="10">
        <f t="shared" si="54"/>
        <v>6.9279382448996909</v>
      </c>
      <c r="AX99" s="10">
        <f t="shared" si="54"/>
        <v>9.9920859000684459</v>
      </c>
    </row>
    <row r="100" spans="4:50" x14ac:dyDescent="0.25">
      <c r="D100" s="758" t="s">
        <v>35</v>
      </c>
      <c r="E100" s="63"/>
      <c r="F100" s="63"/>
      <c r="G100" s="63"/>
      <c r="H100" s="63"/>
      <c r="I100" s="63"/>
      <c r="J100" s="63"/>
      <c r="K100" s="63"/>
      <c r="L100" s="63"/>
      <c r="M100" s="521"/>
      <c r="N100" s="63"/>
      <c r="O100" s="63"/>
      <c r="P100" s="63"/>
      <c r="Q100" s="63"/>
      <c r="R100" s="63"/>
      <c r="S100" s="618"/>
      <c r="T100" s="618"/>
      <c r="U100" s="63"/>
      <c r="V100" s="618"/>
      <c r="W100" s="618"/>
      <c r="X100" s="618"/>
      <c r="Y100" s="63"/>
      <c r="Z100" s="763"/>
      <c r="AA100" s="106"/>
      <c r="AB100" s="106"/>
    </row>
    <row r="101" spans="4:50" ht="15.75" thickBot="1" x14ac:dyDescent="0.3">
      <c r="D101" s="88" t="s">
        <v>85</v>
      </c>
      <c r="E101" s="89">
        <v>5.8797166489999997</v>
      </c>
      <c r="F101" s="89">
        <v>12.941326766500801</v>
      </c>
      <c r="G101" s="89">
        <v>16.2922810165295</v>
      </c>
      <c r="H101" s="89">
        <v>12.522638815720001</v>
      </c>
      <c r="I101" s="89">
        <v>52.758633538227997</v>
      </c>
      <c r="J101" s="89">
        <v>13.071369409447</v>
      </c>
      <c r="K101" s="89">
        <v>10.3355328958851</v>
      </c>
      <c r="L101" s="89">
        <v>11.1071813507484</v>
      </c>
      <c r="M101" s="89">
        <v>5.7760189999999998</v>
      </c>
      <c r="N101" s="89">
        <v>10.179</v>
      </c>
      <c r="O101" s="89">
        <v>8.2170000000000005</v>
      </c>
      <c r="P101" s="89">
        <v>13.797000000000001</v>
      </c>
      <c r="Q101" s="89">
        <v>15.343</v>
      </c>
      <c r="R101" s="89">
        <v>10.179</v>
      </c>
      <c r="S101" s="90">
        <v>15.827999999999999</v>
      </c>
      <c r="T101" s="90">
        <v>10.215999999999999</v>
      </c>
      <c r="U101" s="89">
        <v>9.1379999999999999</v>
      </c>
      <c r="V101" s="90">
        <v>5.0819999999999999</v>
      </c>
      <c r="W101" s="90">
        <v>13.131</v>
      </c>
      <c r="X101" s="90">
        <v>29.402999999999999</v>
      </c>
      <c r="Y101" s="89">
        <v>25.774000000000001</v>
      </c>
      <c r="Z101" s="764">
        <v>16.606999999999999</v>
      </c>
      <c r="AA101" s="93"/>
      <c r="AB101" s="93"/>
    </row>
    <row r="102" spans="4:50" ht="15.75" thickBot="1" x14ac:dyDescent="0.3">
      <c r="AC102" s="102" t="s">
        <v>656</v>
      </c>
      <c r="AD102" s="171" t="s">
        <v>0</v>
      </c>
      <c r="AE102" s="94" t="s">
        <v>1</v>
      </c>
      <c r="AF102" s="94" t="s">
        <v>2</v>
      </c>
      <c r="AG102" s="94" t="s">
        <v>3</v>
      </c>
      <c r="AH102" s="94" t="s">
        <v>4</v>
      </c>
      <c r="AI102" s="94" t="s">
        <v>5</v>
      </c>
      <c r="AJ102" s="94" t="s">
        <v>6</v>
      </c>
      <c r="AK102" s="94" t="s">
        <v>7</v>
      </c>
      <c r="AL102" s="94" t="s">
        <v>27</v>
      </c>
      <c r="AM102" s="94" t="s">
        <v>9</v>
      </c>
      <c r="AN102" s="94" t="s">
        <v>10</v>
      </c>
      <c r="AO102" s="94" t="s">
        <v>11</v>
      </c>
      <c r="AP102" s="94" t="s">
        <v>12</v>
      </c>
      <c r="AQ102" s="94" t="s">
        <v>13</v>
      </c>
      <c r="AR102" s="94" t="s">
        <v>14</v>
      </c>
      <c r="AS102" s="94" t="s">
        <v>15</v>
      </c>
      <c r="AT102" s="35" t="s">
        <v>16</v>
      </c>
      <c r="AU102" s="35" t="s">
        <v>17</v>
      </c>
      <c r="AV102" s="35" t="s">
        <v>18</v>
      </c>
      <c r="AW102" s="35" t="s">
        <v>19</v>
      </c>
      <c r="AX102" s="369" t="s">
        <v>20</v>
      </c>
    </row>
    <row r="103" spans="4:50" ht="15.75" thickBot="1" x14ac:dyDescent="0.3">
      <c r="D103" s="761" t="s">
        <v>65</v>
      </c>
      <c r="E103" s="94" t="s">
        <v>0</v>
      </c>
      <c r="F103" s="94" t="s">
        <v>1</v>
      </c>
      <c r="G103" s="94" t="s">
        <v>2</v>
      </c>
      <c r="H103" s="94" t="s">
        <v>3</v>
      </c>
      <c r="I103" s="94" t="s">
        <v>4</v>
      </c>
      <c r="J103" s="94" t="s">
        <v>5</v>
      </c>
      <c r="K103" s="94" t="s">
        <v>6</v>
      </c>
      <c r="L103" s="94" t="s">
        <v>7</v>
      </c>
      <c r="M103" s="94" t="s">
        <v>27</v>
      </c>
      <c r="N103" s="94" t="s">
        <v>9</v>
      </c>
      <c r="O103" s="94" t="s">
        <v>10</v>
      </c>
      <c r="P103" s="94" t="s">
        <v>11</v>
      </c>
      <c r="Q103" s="94" t="s">
        <v>12</v>
      </c>
      <c r="R103" s="94" t="s">
        <v>13</v>
      </c>
      <c r="S103" s="94" t="s">
        <v>14</v>
      </c>
      <c r="T103" s="94" t="s">
        <v>15</v>
      </c>
      <c r="U103" s="94" t="s">
        <v>16</v>
      </c>
      <c r="V103" s="95" t="s">
        <v>17</v>
      </c>
      <c r="W103" s="94" t="s">
        <v>18</v>
      </c>
      <c r="X103" s="94" t="s">
        <v>19</v>
      </c>
      <c r="Y103" s="94" t="s">
        <v>20</v>
      </c>
      <c r="Z103" s="172" t="s">
        <v>201</v>
      </c>
      <c r="AC103" s="294" t="s">
        <v>618</v>
      </c>
      <c r="AD103" s="295">
        <v>5204.1869999999999</v>
      </c>
      <c r="AE103" s="295">
        <v>9715.3404690000007</v>
      </c>
      <c r="AF103" s="295">
        <v>41039.499668999997</v>
      </c>
      <c r="AG103" s="295">
        <v>91730.631406</v>
      </c>
      <c r="AH103" s="295">
        <v>40306.591185999998</v>
      </c>
      <c r="AI103" s="295">
        <v>25707.198417</v>
      </c>
      <c r="AJ103" s="295">
        <v>9858.8594109999995</v>
      </c>
      <c r="AK103" s="295">
        <v>18019.777470000001</v>
      </c>
      <c r="AL103" s="295">
        <v>6668</v>
      </c>
      <c r="AM103" s="295">
        <v>9147</v>
      </c>
      <c r="AN103" s="295">
        <v>19657</v>
      </c>
      <c r="AO103" s="295">
        <v>17131</v>
      </c>
      <c r="AP103" s="295">
        <v>21619</v>
      </c>
      <c r="AQ103" s="295">
        <v>20034</v>
      </c>
      <c r="AR103" s="295">
        <v>23099</v>
      </c>
      <c r="AS103" s="295">
        <v>26706</v>
      </c>
      <c r="AT103" s="295">
        <v>20589</v>
      </c>
      <c r="AU103" s="295">
        <v>15983</v>
      </c>
      <c r="AV103" s="295">
        <v>32481</v>
      </c>
      <c r="AW103" s="295">
        <v>33094</v>
      </c>
      <c r="AX103" s="295">
        <v>43902</v>
      </c>
    </row>
    <row r="104" spans="4:50" x14ac:dyDescent="0.25">
      <c r="D104" s="758" t="s">
        <v>34</v>
      </c>
      <c r="E104" s="63"/>
      <c r="F104" s="63"/>
      <c r="G104" s="63"/>
      <c r="H104" s="63"/>
      <c r="I104" s="63"/>
      <c r="J104" s="63"/>
      <c r="K104" s="63"/>
      <c r="L104" s="63"/>
      <c r="M104" s="63"/>
      <c r="N104" s="63"/>
      <c r="O104" s="63"/>
      <c r="P104" s="63"/>
      <c r="Q104" s="63"/>
      <c r="R104" s="80"/>
      <c r="S104" s="468"/>
      <c r="T104" s="468"/>
      <c r="U104" s="80"/>
      <c r="V104" s="468"/>
      <c r="W104" s="468"/>
      <c r="X104" s="468"/>
      <c r="Y104" s="80"/>
      <c r="Z104" s="762"/>
      <c r="AC104" s="345" t="s">
        <v>634</v>
      </c>
      <c r="AD104" s="370">
        <v>4422.8846404200003</v>
      </c>
      <c r="AE104" s="370">
        <v>14358.2680271472</v>
      </c>
      <c r="AF104" s="370">
        <v>11359.9812459685</v>
      </c>
      <c r="AG104" s="370">
        <v>18653.927037397199</v>
      </c>
      <c r="AH104" s="370">
        <v>8810.1498499750014</v>
      </c>
      <c r="AI104" s="370">
        <v>25813.940797323801</v>
      </c>
      <c r="AJ104" s="370">
        <v>11500.744528347899</v>
      </c>
      <c r="AK104" s="370">
        <v>16659.617324504998</v>
      </c>
      <c r="AL104" s="370">
        <v>10756.01</v>
      </c>
      <c r="AM104" s="370">
        <v>10902</v>
      </c>
      <c r="AN104" s="370">
        <v>19957</v>
      </c>
      <c r="AO104" s="370">
        <v>12321</v>
      </c>
      <c r="AP104" s="370">
        <v>67600</v>
      </c>
      <c r="AQ104" s="370">
        <v>15933</v>
      </c>
      <c r="AR104" s="370">
        <v>18930</v>
      </c>
      <c r="AS104" s="370">
        <v>11451</v>
      </c>
      <c r="AT104" s="370">
        <v>29246</v>
      </c>
      <c r="AU104" s="370">
        <v>9128</v>
      </c>
      <c r="AV104" s="370">
        <v>8172</v>
      </c>
      <c r="AW104" s="370">
        <v>8167</v>
      </c>
      <c r="AX104" s="370">
        <v>9343</v>
      </c>
    </row>
    <row r="105" spans="4:50" x14ac:dyDescent="0.25">
      <c r="D105" s="758" t="s">
        <v>35</v>
      </c>
      <c r="E105" s="63"/>
      <c r="F105" s="63"/>
      <c r="G105" s="63"/>
      <c r="H105" s="63"/>
      <c r="I105" s="63"/>
      <c r="J105" s="63"/>
      <c r="K105" s="63"/>
      <c r="L105" s="63"/>
      <c r="M105" s="521"/>
      <c r="N105" s="63"/>
      <c r="O105" s="63"/>
      <c r="P105" s="63"/>
      <c r="Q105" s="63"/>
      <c r="R105" s="63"/>
      <c r="S105" s="618"/>
      <c r="T105" s="618"/>
      <c r="U105" s="63"/>
      <c r="V105" s="618"/>
      <c r="W105" s="618"/>
      <c r="X105" s="618"/>
      <c r="Y105" s="63"/>
      <c r="Z105" s="763"/>
      <c r="AA105" s="106"/>
      <c r="AB105" s="106"/>
    </row>
    <row r="106" spans="4:50" ht="15.75" thickBot="1" x14ac:dyDescent="0.3">
      <c r="D106" s="88" t="s">
        <v>86</v>
      </c>
      <c r="E106" s="89">
        <v>12.900368167</v>
      </c>
      <c r="F106" s="89">
        <v>18.899604785000001</v>
      </c>
      <c r="G106" s="89">
        <v>27.4482461118</v>
      </c>
      <c r="H106" s="89">
        <v>22.007852494000002</v>
      </c>
      <c r="I106" s="89">
        <v>12.548226572000001</v>
      </c>
      <c r="J106" s="89">
        <v>23.168295695000001</v>
      </c>
      <c r="K106" s="89">
        <v>29.032859683000002</v>
      </c>
      <c r="L106" s="89">
        <v>32.418561210999997</v>
      </c>
      <c r="M106" s="89">
        <v>14.239000000000001</v>
      </c>
      <c r="N106" s="89">
        <v>14.239000000000001</v>
      </c>
      <c r="O106" s="89">
        <v>22.763000000000002</v>
      </c>
      <c r="P106" s="89">
        <v>28.983000000000001</v>
      </c>
      <c r="Q106" s="89">
        <v>34.067999999999998</v>
      </c>
      <c r="R106" s="89">
        <v>23.960999999999999</v>
      </c>
      <c r="S106" s="90">
        <v>27.652000000000001</v>
      </c>
      <c r="T106" s="90">
        <v>37.005000000000003</v>
      </c>
      <c r="U106" s="89">
        <v>45.027000000000001</v>
      </c>
      <c r="V106" s="90">
        <v>29.844999999999999</v>
      </c>
      <c r="W106" s="90">
        <v>30.236999999999998</v>
      </c>
      <c r="X106" s="90">
        <v>42.127000000000002</v>
      </c>
      <c r="Y106" s="89">
        <v>35.963999999999999</v>
      </c>
      <c r="Z106" s="764">
        <v>20.053000000000001</v>
      </c>
      <c r="AA106" s="93"/>
      <c r="AB106" s="93"/>
    </row>
    <row r="107" spans="4:50" ht="15.75" thickBot="1" x14ac:dyDescent="0.3"/>
    <row r="108" spans="4:50" x14ac:dyDescent="0.25">
      <c r="D108" s="761" t="s">
        <v>67</v>
      </c>
      <c r="E108" s="94" t="s">
        <v>0</v>
      </c>
      <c r="F108" s="94" t="s">
        <v>1</v>
      </c>
      <c r="G108" s="94" t="s">
        <v>2</v>
      </c>
      <c r="H108" s="94" t="s">
        <v>3</v>
      </c>
      <c r="I108" s="94" t="s">
        <v>4</v>
      </c>
      <c r="J108" s="94" t="s">
        <v>5</v>
      </c>
      <c r="K108" s="94" t="s">
        <v>6</v>
      </c>
      <c r="L108" s="94" t="s">
        <v>7</v>
      </c>
      <c r="M108" s="94" t="s">
        <v>27</v>
      </c>
      <c r="N108" s="94" t="s">
        <v>9</v>
      </c>
      <c r="O108" s="94" t="s">
        <v>10</v>
      </c>
      <c r="P108" s="94" t="s">
        <v>11</v>
      </c>
      <c r="Q108" s="94" t="s">
        <v>12</v>
      </c>
      <c r="R108" s="94" t="s">
        <v>13</v>
      </c>
      <c r="S108" s="94" t="s">
        <v>14</v>
      </c>
      <c r="T108" s="94" t="s">
        <v>15</v>
      </c>
      <c r="U108" s="94" t="s">
        <v>16</v>
      </c>
      <c r="V108" s="95" t="s">
        <v>17</v>
      </c>
      <c r="W108" s="94" t="s">
        <v>18</v>
      </c>
      <c r="X108" s="94" t="s">
        <v>19</v>
      </c>
      <c r="Y108" s="94" t="s">
        <v>20</v>
      </c>
      <c r="Z108" s="172" t="s">
        <v>201</v>
      </c>
    </row>
    <row r="109" spans="4:50" x14ac:dyDescent="0.25">
      <c r="D109" s="758" t="s">
        <v>34</v>
      </c>
      <c r="E109" s="63"/>
      <c r="F109" s="63"/>
      <c r="G109" s="63"/>
      <c r="H109" s="63"/>
      <c r="I109" s="63"/>
      <c r="J109" s="63"/>
      <c r="K109" s="63"/>
      <c r="L109" s="63"/>
      <c r="M109" s="63"/>
      <c r="N109" s="63"/>
      <c r="O109" s="63"/>
      <c r="P109" s="63"/>
      <c r="Q109" s="63"/>
      <c r="R109" s="80"/>
      <c r="S109" s="468"/>
      <c r="T109" s="468"/>
      <c r="U109" s="80"/>
      <c r="V109" s="468"/>
      <c r="W109" s="468"/>
      <c r="X109" s="468"/>
      <c r="Y109" s="80"/>
      <c r="Z109" s="762"/>
      <c r="AA109" s="106"/>
      <c r="AB109" s="106"/>
    </row>
    <row r="110" spans="4:50" x14ac:dyDescent="0.25">
      <c r="D110" s="758" t="s">
        <v>35</v>
      </c>
      <c r="E110" s="63"/>
      <c r="F110" s="63"/>
      <c r="G110" s="63"/>
      <c r="H110" s="63"/>
      <c r="I110" s="63"/>
      <c r="J110" s="63"/>
      <c r="K110" s="63"/>
      <c r="L110" s="63"/>
      <c r="M110" s="521"/>
      <c r="N110" s="63"/>
      <c r="O110" s="63"/>
      <c r="P110" s="63"/>
      <c r="Q110" s="63"/>
      <c r="R110" s="63"/>
      <c r="S110" s="618"/>
      <c r="T110" s="618"/>
      <c r="U110" s="63"/>
      <c r="V110" s="618"/>
      <c r="W110" s="618"/>
      <c r="X110" s="618"/>
      <c r="Y110" s="63"/>
      <c r="Z110" s="763"/>
      <c r="AA110" s="106"/>
      <c r="AB110" s="106"/>
    </row>
    <row r="111" spans="4:50" ht="15.75" thickBot="1" x14ac:dyDescent="0.3">
      <c r="D111" s="88" t="s">
        <v>87</v>
      </c>
      <c r="E111" s="89">
        <v>3.8573276719999998</v>
      </c>
      <c r="F111" s="89">
        <v>8.8583674089999995</v>
      </c>
      <c r="G111" s="89">
        <v>10.005877524000001</v>
      </c>
      <c r="H111" s="89">
        <v>13.651054556</v>
      </c>
      <c r="I111" s="89">
        <v>5.4705209999999997</v>
      </c>
      <c r="J111" s="89">
        <v>9.0768123379999999</v>
      </c>
      <c r="K111" s="89">
        <v>4.8306950000000004</v>
      </c>
      <c r="L111" s="89">
        <v>4.4888703100000003</v>
      </c>
      <c r="M111" s="89">
        <v>8.2880000000000003</v>
      </c>
      <c r="N111" s="89">
        <v>8.298</v>
      </c>
      <c r="O111" s="89">
        <v>13.497</v>
      </c>
      <c r="P111" s="89">
        <v>9.5579999999999998</v>
      </c>
      <c r="Q111" s="89">
        <v>9.4049999999999994</v>
      </c>
      <c r="R111" s="89">
        <v>10.571999999999999</v>
      </c>
      <c r="S111" s="90">
        <v>8.6950000000000003</v>
      </c>
      <c r="T111" s="90">
        <v>5.1020000000000003</v>
      </c>
      <c r="U111" s="89">
        <v>2.1549999999999998</v>
      </c>
      <c r="V111" s="90">
        <v>2.8759999999999999</v>
      </c>
      <c r="W111" s="90">
        <v>3.0760000000000001</v>
      </c>
      <c r="X111" s="90">
        <v>2.4390000000000001</v>
      </c>
      <c r="Y111" s="89">
        <v>5.4189999999999996</v>
      </c>
      <c r="Z111" s="764">
        <v>6.8630000000000004</v>
      </c>
      <c r="AA111" s="93"/>
      <c r="AB111" s="93"/>
    </row>
    <row r="112" spans="4:50" x14ac:dyDescent="0.25">
      <c r="E112" s="86">
        <f>E96+E101+E106+E111</f>
        <v>27.841599488</v>
      </c>
      <c r="F112" s="86">
        <f>F96+F101+F106+F111</f>
        <v>50.414639429500795</v>
      </c>
    </row>
    <row r="113" spans="22:22" x14ac:dyDescent="0.25">
      <c r="V113" s="86"/>
    </row>
    <row r="147" spans="4:28" ht="15.75" thickBot="1" x14ac:dyDescent="0.3"/>
    <row r="148" spans="4:28" ht="15.75" thickBot="1" x14ac:dyDescent="0.3">
      <c r="D148" s="1146" t="s">
        <v>657</v>
      </c>
      <c r="E148" s="1147"/>
      <c r="F148" s="1147"/>
      <c r="G148" s="1147"/>
      <c r="H148" s="1147"/>
      <c r="I148" s="1147"/>
      <c r="J148" s="1147"/>
      <c r="K148" s="1147"/>
      <c r="L148" s="1147"/>
      <c r="M148" s="1147"/>
      <c r="N148" s="1147"/>
      <c r="O148" s="1147"/>
      <c r="P148" s="1147"/>
      <c r="Q148" s="1147"/>
      <c r="R148" s="1147"/>
      <c r="S148" s="1147"/>
      <c r="T148" s="1147"/>
      <c r="U148" s="1147"/>
      <c r="V148" s="1147"/>
      <c r="W148" s="1147"/>
      <c r="X148" s="1147"/>
      <c r="Y148" s="1147"/>
      <c r="Z148" s="1148"/>
    </row>
    <row r="149" spans="4:28" ht="15.75" thickBot="1" x14ac:dyDescent="0.3"/>
    <row r="150" spans="4:28" x14ac:dyDescent="0.25">
      <c r="D150" s="765" t="s">
        <v>658</v>
      </c>
      <c r="E150" s="94" t="s">
        <v>0</v>
      </c>
      <c r="F150" s="94" t="s">
        <v>1</v>
      </c>
      <c r="G150" s="94" t="s">
        <v>2</v>
      </c>
      <c r="H150" s="94" t="s">
        <v>3</v>
      </c>
      <c r="I150" s="94" t="s">
        <v>4</v>
      </c>
      <c r="J150" s="94" t="s">
        <v>5</v>
      </c>
      <c r="K150" s="94" t="s">
        <v>6</v>
      </c>
      <c r="L150" s="94" t="s">
        <v>7</v>
      </c>
      <c r="M150" s="94" t="s">
        <v>27</v>
      </c>
      <c r="N150" s="94" t="s">
        <v>9</v>
      </c>
      <c r="O150" s="94" t="s">
        <v>10</v>
      </c>
      <c r="P150" s="94" t="s">
        <v>11</v>
      </c>
      <c r="Q150" s="94" t="s">
        <v>12</v>
      </c>
      <c r="R150" s="94" t="s">
        <v>13</v>
      </c>
      <c r="S150" s="94" t="s">
        <v>14</v>
      </c>
      <c r="T150" s="94" t="s">
        <v>15</v>
      </c>
      <c r="U150" s="94" t="s">
        <v>16</v>
      </c>
      <c r="V150" s="95" t="s">
        <v>17</v>
      </c>
      <c r="W150" s="94" t="s">
        <v>18</v>
      </c>
      <c r="X150" s="94" t="s">
        <v>19</v>
      </c>
      <c r="Y150" s="94" t="s">
        <v>20</v>
      </c>
      <c r="Z150" s="97" t="s">
        <v>201</v>
      </c>
    </row>
    <row r="151" spans="4:28" x14ac:dyDescent="0.25">
      <c r="D151" s="758" t="s">
        <v>34</v>
      </c>
      <c r="E151" s="63"/>
      <c r="F151" s="63"/>
      <c r="G151" s="63"/>
      <c r="H151" s="63"/>
      <c r="I151" s="63"/>
      <c r="J151" s="63"/>
      <c r="K151" s="63"/>
      <c r="L151" s="63"/>
      <c r="M151" s="63"/>
      <c r="N151" s="63"/>
      <c r="O151" s="63"/>
      <c r="P151" s="63"/>
      <c r="Q151" s="63"/>
      <c r="R151" s="80"/>
      <c r="S151" s="468"/>
      <c r="T151" s="468"/>
      <c r="U151" s="80"/>
      <c r="V151" s="468"/>
      <c r="W151" s="468"/>
      <c r="X151" s="468"/>
      <c r="Y151" s="80"/>
      <c r="Z151" s="759"/>
      <c r="AA151" s="106"/>
      <c r="AB151" s="106"/>
    </row>
    <row r="152" spans="4:28" x14ac:dyDescent="0.25">
      <c r="D152" s="758" t="s">
        <v>35</v>
      </c>
      <c r="E152" s="63"/>
      <c r="F152" s="63"/>
      <c r="G152" s="63"/>
      <c r="H152" s="63"/>
      <c r="I152" s="63"/>
      <c r="J152" s="63"/>
      <c r="K152" s="63"/>
      <c r="L152" s="63"/>
      <c r="M152" s="521"/>
      <c r="N152" s="63"/>
      <c r="O152" s="63"/>
      <c r="P152" s="63"/>
      <c r="Q152" s="63"/>
      <c r="R152" s="63"/>
      <c r="S152" s="618"/>
      <c r="T152" s="618"/>
      <c r="U152" s="63"/>
      <c r="V152" s="618"/>
      <c r="W152" s="618"/>
      <c r="X152" s="618"/>
      <c r="Y152" s="63"/>
      <c r="Z152" s="760"/>
      <c r="AA152" s="106"/>
      <c r="AB152" s="106"/>
    </row>
    <row r="153" spans="4:28" ht="15.75" thickBot="1" x14ac:dyDescent="0.3">
      <c r="D153" s="88" t="s">
        <v>659</v>
      </c>
      <c r="E153" s="89">
        <v>4.4228846404200004</v>
      </c>
      <c r="F153" s="89">
        <v>14.358268027147201</v>
      </c>
      <c r="G153" s="89">
        <v>11.3599812459685</v>
      </c>
      <c r="H153" s="89">
        <v>18.653927037397199</v>
      </c>
      <c r="I153" s="89">
        <v>8.8101498499749997</v>
      </c>
      <c r="J153" s="89">
        <v>25.813940797323799</v>
      </c>
      <c r="K153" s="89">
        <v>11.5007445283479</v>
      </c>
      <c r="L153" s="89">
        <v>16.659617324505</v>
      </c>
      <c r="M153" s="89">
        <v>10.75601</v>
      </c>
      <c r="N153" s="89">
        <v>10.901999999999999</v>
      </c>
      <c r="O153" s="89">
        <v>19.957000000000001</v>
      </c>
      <c r="P153" s="89">
        <v>12.321</v>
      </c>
      <c r="Q153" s="89">
        <v>67.599999999999994</v>
      </c>
      <c r="R153" s="89">
        <v>15.933</v>
      </c>
      <c r="S153" s="90">
        <v>15.933</v>
      </c>
      <c r="T153" s="90">
        <v>11.451000000000001</v>
      </c>
      <c r="U153" s="89">
        <v>28.981999999999999</v>
      </c>
      <c r="V153" s="90">
        <v>9.1280000000000001</v>
      </c>
      <c r="W153" s="90">
        <v>8.1720000000000006</v>
      </c>
      <c r="X153" s="90">
        <v>8.1669999999999998</v>
      </c>
      <c r="Y153" s="89">
        <v>9.343</v>
      </c>
      <c r="Z153" s="92">
        <v>6.3319999999999999</v>
      </c>
      <c r="AA153" s="93"/>
      <c r="AB153" s="93"/>
    </row>
    <row r="154" spans="4:28" ht="15.75" thickBot="1" x14ac:dyDescent="0.3">
      <c r="E154" s="86">
        <f>E153/E169*100</f>
        <v>12.875066052746451</v>
      </c>
      <c r="F154" s="86">
        <f t="shared" ref="F154:W154" si="55">F153/F169*100</f>
        <v>24.689977518205843</v>
      </c>
      <c r="G154" s="86">
        <f t="shared" si="55"/>
        <v>15.895178645011695</v>
      </c>
      <c r="H154" s="86">
        <f t="shared" si="55"/>
        <v>26.937335694305307</v>
      </c>
      <c r="I154" s="86">
        <f t="shared" si="55"/>
        <v>22.71253467500912</v>
      </c>
      <c r="J154" s="86">
        <f t="shared" si="55"/>
        <v>43.271269769555751</v>
      </c>
      <c r="K154" s="86">
        <f t="shared" si="55"/>
        <v>16.212502665806767</v>
      </c>
      <c r="L154" s="86">
        <f t="shared" si="55"/>
        <v>23.353223423684351</v>
      </c>
      <c r="M154" s="86">
        <f t="shared" si="55"/>
        <v>26.50591845854575</v>
      </c>
      <c r="N154" s="86">
        <f t="shared" si="55"/>
        <v>26.769140107056916</v>
      </c>
      <c r="O154" s="86">
        <f t="shared" si="55"/>
        <v>30.803543866148047</v>
      </c>
      <c r="P154" s="86">
        <f t="shared" si="55"/>
        <v>16.167806107050534</v>
      </c>
      <c r="Q154" s="86">
        <f t="shared" si="55"/>
        <v>51.551501933181321</v>
      </c>
      <c r="R154" s="86">
        <f t="shared" si="55"/>
        <v>32.460679651210164</v>
      </c>
      <c r="S154" s="86">
        <f t="shared" si="55"/>
        <v>32.06222079124241</v>
      </c>
      <c r="T154" s="86">
        <f t="shared" si="55"/>
        <v>15.808437793362415</v>
      </c>
      <c r="U154" s="86">
        <f t="shared" si="55"/>
        <v>31.377346642704023</v>
      </c>
      <c r="V154" s="86">
        <f t="shared" si="55"/>
        <v>15.668772315297996</v>
      </c>
      <c r="W154" s="86">
        <f t="shared" si="55"/>
        <v>16.628683053882469</v>
      </c>
      <c r="X154" s="86">
        <f>X153/X169*100</f>
        <v>6.9279382448996891</v>
      </c>
      <c r="Y154" s="86">
        <f>Y153/Y169*100</f>
        <v>9.9919790385540868</v>
      </c>
    </row>
    <row r="155" spans="4:28" x14ac:dyDescent="0.25">
      <c r="D155" s="765" t="s">
        <v>660</v>
      </c>
      <c r="E155" s="94" t="s">
        <v>0</v>
      </c>
      <c r="F155" s="94" t="s">
        <v>1</v>
      </c>
      <c r="G155" s="94" t="s">
        <v>2</v>
      </c>
      <c r="H155" s="94" t="s">
        <v>3</v>
      </c>
      <c r="I155" s="94" t="s">
        <v>4</v>
      </c>
      <c r="J155" s="94" t="s">
        <v>5</v>
      </c>
      <c r="K155" s="94" t="s">
        <v>6</v>
      </c>
      <c r="L155" s="94" t="s">
        <v>7</v>
      </c>
      <c r="M155" s="94" t="s">
        <v>27</v>
      </c>
      <c r="N155" s="94" t="s">
        <v>9</v>
      </c>
      <c r="O155" s="94" t="s">
        <v>10</v>
      </c>
      <c r="P155" s="94" t="s">
        <v>11</v>
      </c>
      <c r="Q155" s="94" t="s">
        <v>12</v>
      </c>
      <c r="R155" s="94" t="s">
        <v>13</v>
      </c>
      <c r="S155" s="94" t="s">
        <v>14</v>
      </c>
      <c r="T155" s="94" t="s">
        <v>15</v>
      </c>
      <c r="U155" s="94" t="s">
        <v>16</v>
      </c>
      <c r="V155" s="95" t="s">
        <v>17</v>
      </c>
      <c r="W155" s="94" t="s">
        <v>18</v>
      </c>
      <c r="X155" s="94" t="s">
        <v>19</v>
      </c>
      <c r="Y155" s="94" t="s">
        <v>20</v>
      </c>
      <c r="Z155" s="97" t="s">
        <v>201</v>
      </c>
    </row>
    <row r="156" spans="4:28" x14ac:dyDescent="0.25">
      <c r="D156" s="758" t="s">
        <v>34</v>
      </c>
      <c r="E156" s="63"/>
      <c r="F156" s="63"/>
      <c r="G156" s="63"/>
      <c r="H156" s="63"/>
      <c r="I156" s="63"/>
      <c r="J156" s="63"/>
      <c r="K156" s="63"/>
      <c r="L156" s="63"/>
      <c r="M156" s="63"/>
      <c r="N156" s="63"/>
      <c r="O156" s="63"/>
      <c r="P156" s="63"/>
      <c r="Q156" s="63"/>
      <c r="R156" s="63"/>
      <c r="S156" s="468"/>
      <c r="T156" s="468"/>
      <c r="U156" s="80"/>
      <c r="V156" s="468"/>
      <c r="W156" s="468"/>
      <c r="X156" s="468"/>
      <c r="Y156" s="80"/>
      <c r="Z156" s="759"/>
      <c r="AA156" s="106"/>
      <c r="AB156" s="106"/>
    </row>
    <row r="157" spans="4:28" x14ac:dyDescent="0.25">
      <c r="D157" s="758" t="s">
        <v>35</v>
      </c>
      <c r="E157" s="63"/>
      <c r="F157" s="63"/>
      <c r="G157" s="63"/>
      <c r="H157" s="63"/>
      <c r="I157" s="63"/>
      <c r="J157" s="63"/>
      <c r="K157" s="63"/>
      <c r="L157" s="63"/>
      <c r="M157" s="63"/>
      <c r="N157" s="63"/>
      <c r="O157" s="63"/>
      <c r="P157" s="63"/>
      <c r="Q157" s="63"/>
      <c r="R157" s="63"/>
      <c r="S157" s="618"/>
      <c r="T157" s="618"/>
      <c r="U157" s="63"/>
      <c r="V157" s="618"/>
      <c r="W157" s="618"/>
      <c r="X157" s="618"/>
      <c r="Y157" s="63"/>
      <c r="Z157" s="760"/>
      <c r="AA157" s="106"/>
      <c r="AB157" s="106"/>
    </row>
    <row r="158" spans="4:28" ht="15.75" thickBot="1" x14ac:dyDescent="0.3">
      <c r="D158" s="88" t="s">
        <v>661</v>
      </c>
      <c r="E158" s="89">
        <v>0.88456384499999996</v>
      </c>
      <c r="F158" s="89">
        <v>5.6493989119999997</v>
      </c>
      <c r="G158" s="89">
        <v>4.5181132938105</v>
      </c>
      <c r="H158" s="89">
        <v>10.1947512050542</v>
      </c>
      <c r="I158" s="89">
        <v>5.0739796272</v>
      </c>
      <c r="J158" s="89">
        <v>7.0111261239799996</v>
      </c>
      <c r="K158" s="89">
        <v>4.9681870129999997</v>
      </c>
      <c r="L158" s="89">
        <v>8.3368276879999996</v>
      </c>
      <c r="M158" s="89">
        <v>4.7396440000000002</v>
      </c>
      <c r="N158" s="89">
        <v>4.74</v>
      </c>
      <c r="O158" s="89">
        <v>14.839</v>
      </c>
      <c r="P158" s="89">
        <v>15.635</v>
      </c>
      <c r="Q158" s="89">
        <v>12.462</v>
      </c>
      <c r="R158" s="89">
        <v>4.5179999999999998</v>
      </c>
      <c r="S158" s="90">
        <v>2.8679999999999999</v>
      </c>
      <c r="T158" s="90">
        <v>12.544</v>
      </c>
      <c r="U158" s="89">
        <v>14.961</v>
      </c>
      <c r="V158" s="90">
        <v>6.6989999999999998</v>
      </c>
      <c r="W158" s="90">
        <v>11.496</v>
      </c>
      <c r="X158" s="90">
        <v>52.755000000000003</v>
      </c>
      <c r="Y158" s="89">
        <v>27.981000000000002</v>
      </c>
      <c r="Z158" s="92">
        <v>8.6959999999999997</v>
      </c>
      <c r="AA158" s="93"/>
      <c r="AB158" s="93"/>
    </row>
    <row r="159" spans="4:28" ht="15.75" thickBot="1" x14ac:dyDescent="0.3">
      <c r="E159" s="86">
        <f>E158/E169*100</f>
        <v>2.5749751255472226</v>
      </c>
      <c r="F159" s="86">
        <f t="shared" ref="F159:Y159" si="56">F158/F169*100</f>
        <v>9.7145095679322058</v>
      </c>
      <c r="G159" s="86">
        <f t="shared" si="56"/>
        <v>6.3218606077370678</v>
      </c>
      <c r="H159" s="86">
        <f t="shared" si="56"/>
        <v>14.721802812883011</v>
      </c>
      <c r="I159" s="86">
        <f t="shared" si="56"/>
        <v>13.080701257697323</v>
      </c>
      <c r="J159" s="86">
        <f t="shared" si="56"/>
        <v>11.752577116414963</v>
      </c>
      <c r="K159" s="86">
        <f t="shared" si="56"/>
        <v>7.003611374372448</v>
      </c>
      <c r="L159" s="86">
        <f t="shared" si="56"/>
        <v>11.686450886014372</v>
      </c>
      <c r="M159" s="86">
        <f t="shared" si="56"/>
        <v>11.679853159911122</v>
      </c>
      <c r="N159" s="86">
        <f t="shared" si="56"/>
        <v>11.638756568285617</v>
      </c>
      <c r="O159" s="86">
        <f t="shared" si="56"/>
        <v>22.903932827066736</v>
      </c>
      <c r="P159" s="86">
        <f t="shared" si="56"/>
        <v>20.51648798666789</v>
      </c>
      <c r="Q159" s="86">
        <f t="shared" si="56"/>
        <v>9.5034736256110293</v>
      </c>
      <c r="R159" s="86">
        <f t="shared" si="56"/>
        <v>9.2046287996088321</v>
      </c>
      <c r="S159" s="86">
        <f t="shared" si="56"/>
        <v>5.7713204813458363</v>
      </c>
      <c r="T159" s="86">
        <f t="shared" si="56"/>
        <v>17.317356010823346</v>
      </c>
      <c r="U159" s="86">
        <f t="shared" si="56"/>
        <v>16.197518567438234</v>
      </c>
      <c r="V159" s="86">
        <f t="shared" si="56"/>
        <v>11.499244712990937</v>
      </c>
      <c r="W159" s="86">
        <f t="shared" si="56"/>
        <v>23.392479244668728</v>
      </c>
      <c r="X159" s="86">
        <f t="shared" si="56"/>
        <v>44.751240615854435</v>
      </c>
      <c r="Y159" s="86">
        <f t="shared" si="56"/>
        <v>29.924602962408425</v>
      </c>
    </row>
    <row r="160" spans="4:28" x14ac:dyDescent="0.25">
      <c r="D160" s="765" t="s">
        <v>662</v>
      </c>
      <c r="E160" s="94" t="s">
        <v>0</v>
      </c>
      <c r="F160" s="94" t="s">
        <v>1</v>
      </c>
      <c r="G160" s="94" t="s">
        <v>2</v>
      </c>
      <c r="H160" s="94" t="s">
        <v>3</v>
      </c>
      <c r="I160" s="94" t="s">
        <v>4</v>
      </c>
      <c r="J160" s="94" t="s">
        <v>5</v>
      </c>
      <c r="K160" s="94" t="s">
        <v>6</v>
      </c>
      <c r="L160" s="94" t="s">
        <v>7</v>
      </c>
      <c r="M160" s="94" t="s">
        <v>27</v>
      </c>
      <c r="N160" s="94" t="s">
        <v>9</v>
      </c>
      <c r="O160" s="94" t="s">
        <v>10</v>
      </c>
      <c r="P160" s="94" t="s">
        <v>11</v>
      </c>
      <c r="Q160" s="94" t="s">
        <v>12</v>
      </c>
      <c r="R160" s="94" t="s">
        <v>13</v>
      </c>
      <c r="S160" s="94" t="s">
        <v>14</v>
      </c>
      <c r="T160" s="94" t="s">
        <v>15</v>
      </c>
      <c r="U160" s="94" t="s">
        <v>16</v>
      </c>
      <c r="V160" s="95" t="s">
        <v>17</v>
      </c>
      <c r="W160" s="94" t="s">
        <v>18</v>
      </c>
      <c r="X160" s="94" t="s">
        <v>19</v>
      </c>
      <c r="Y160" s="94" t="s">
        <v>20</v>
      </c>
      <c r="Z160" s="97" t="s">
        <v>201</v>
      </c>
    </row>
    <row r="161" spans="4:28" x14ac:dyDescent="0.25">
      <c r="D161" s="758" t="s">
        <v>34</v>
      </c>
      <c r="E161" s="63"/>
      <c r="F161" s="63"/>
      <c r="G161" s="63"/>
      <c r="H161" s="63"/>
      <c r="I161" s="63"/>
      <c r="J161" s="63"/>
      <c r="K161" s="63"/>
      <c r="L161" s="63"/>
      <c r="M161" s="63"/>
      <c r="N161" s="63"/>
      <c r="O161" s="63"/>
      <c r="P161" s="63"/>
      <c r="Q161" s="63"/>
      <c r="R161" s="63"/>
      <c r="S161" s="468"/>
      <c r="T161" s="468"/>
      <c r="U161" s="80"/>
      <c r="V161" s="468"/>
      <c r="W161" s="468"/>
      <c r="X161" s="468"/>
      <c r="Y161" s="80"/>
      <c r="Z161" s="759"/>
      <c r="AA161" s="106"/>
      <c r="AB161" s="106"/>
    </row>
    <row r="162" spans="4:28" x14ac:dyDescent="0.25">
      <c r="D162" s="758" t="s">
        <v>35</v>
      </c>
      <c r="E162" s="63"/>
      <c r="F162" s="63"/>
      <c r="G162" s="63"/>
      <c r="H162" s="63"/>
      <c r="I162" s="63"/>
      <c r="J162" s="63"/>
      <c r="K162" s="63"/>
      <c r="L162" s="63"/>
      <c r="M162" s="63"/>
      <c r="N162" s="63"/>
      <c r="O162" s="63"/>
      <c r="P162" s="63"/>
      <c r="Q162" s="63"/>
      <c r="R162" s="63"/>
      <c r="S162" s="618"/>
      <c r="T162" s="618"/>
      <c r="U162" s="63"/>
      <c r="V162" s="618"/>
      <c r="W162" s="618"/>
      <c r="X162" s="618"/>
      <c r="Y162" s="63"/>
      <c r="Z162" s="760"/>
      <c r="AA162" s="106"/>
      <c r="AB162" s="106"/>
    </row>
    <row r="163" spans="4:28" ht="15.75" thickBot="1" x14ac:dyDescent="0.3">
      <c r="D163" s="88" t="s">
        <v>663</v>
      </c>
      <c r="E163" s="89">
        <v>26.372445337999999</v>
      </c>
      <c r="F163" s="89">
        <v>36.404818003999999</v>
      </c>
      <c r="G163" s="89">
        <v>51.337082723000002</v>
      </c>
      <c r="H163" s="89">
        <v>35.476439717142</v>
      </c>
      <c r="I163" s="89">
        <v>23.52133305988</v>
      </c>
      <c r="J163" s="89">
        <v>25.0517032701812</v>
      </c>
      <c r="K163" s="89">
        <v>48.075726232999997</v>
      </c>
      <c r="L163" s="89">
        <v>40.420357306</v>
      </c>
      <c r="M163" s="89">
        <v>23.696000000000002</v>
      </c>
      <c r="N163" s="89">
        <v>23.696000000000002</v>
      </c>
      <c r="O163" s="89">
        <v>21.035</v>
      </c>
      <c r="P163" s="89">
        <v>46.244999999999997</v>
      </c>
      <c r="Q163" s="89">
        <v>46.713999999999999</v>
      </c>
      <c r="R163" s="89">
        <v>24.312000000000001</v>
      </c>
      <c r="S163" s="90">
        <v>28.942</v>
      </c>
      <c r="T163" s="90">
        <v>45.686999999999998</v>
      </c>
      <c r="U163" s="89">
        <v>45.689</v>
      </c>
      <c r="V163" s="90">
        <v>33.497</v>
      </c>
      <c r="W163" s="90">
        <v>27.513000000000002</v>
      </c>
      <c r="X163" s="90">
        <v>52.779000000000003</v>
      </c>
      <c r="Y163" s="89">
        <v>42.273000000000003</v>
      </c>
      <c r="Z163" s="92">
        <v>43.273000000000003</v>
      </c>
      <c r="AA163" s="93"/>
      <c r="AB163" s="93"/>
    </row>
    <row r="164" spans="4:28" ht="15.75" thickBot="1" x14ac:dyDescent="0.3">
      <c r="E164" s="86">
        <f>E163/E169*100</f>
        <v>76.77047974440309</v>
      </c>
      <c r="F164" s="86">
        <f t="shared" ref="F164:Y164" si="57">F163/F169*100</f>
        <v>62.600456849928435</v>
      </c>
      <c r="G164" s="86">
        <f t="shared" si="57"/>
        <v>71.83216973051077</v>
      </c>
      <c r="H164" s="86">
        <f t="shared" si="57"/>
        <v>51.2300044909354</v>
      </c>
      <c r="I164" s="86">
        <f t="shared" si="57"/>
        <v>60.637912160651709</v>
      </c>
      <c r="J164" s="86">
        <f t="shared" si="57"/>
        <v>41.9935498768656</v>
      </c>
      <c r="K164" s="86">
        <f t="shared" si="57"/>
        <v>67.771946224169781</v>
      </c>
      <c r="L164" s="86">
        <f t="shared" si="57"/>
        <v>56.660703343029354</v>
      </c>
      <c r="M164" s="86">
        <f t="shared" si="57"/>
        <v>58.393795077700773</v>
      </c>
      <c r="N164" s="86">
        <f t="shared" si="57"/>
        <v>58.183961105927416</v>
      </c>
      <c r="O164" s="86">
        <f t="shared" si="57"/>
        <v>32.467432240538372</v>
      </c>
      <c r="P164" s="86">
        <f t="shared" si="57"/>
        <v>60.683401787237386</v>
      </c>
      <c r="Q164" s="86">
        <f t="shared" si="57"/>
        <v>35.623918066666157</v>
      </c>
      <c r="R164" s="86">
        <f t="shared" si="57"/>
        <v>49.53141553255643</v>
      </c>
      <c r="S164" s="86">
        <f t="shared" si="57"/>
        <v>58.24043144041535</v>
      </c>
      <c r="T164" s="86">
        <f t="shared" si="57"/>
        <v>63.072229278259414</v>
      </c>
      <c r="U164" s="86">
        <f t="shared" si="57"/>
        <v>49.465171166879593</v>
      </c>
      <c r="V164" s="86">
        <f t="shared" si="57"/>
        <v>57.499656687723153</v>
      </c>
      <c r="W164" s="86">
        <f t="shared" si="57"/>
        <v>55.984453849910473</v>
      </c>
      <c r="X164" s="86">
        <f t="shared" si="57"/>
        <v>44.771599440132334</v>
      </c>
      <c r="Y164" s="86">
        <f t="shared" si="57"/>
        <v>45.209347093738302</v>
      </c>
    </row>
    <row r="165" spans="4:28" x14ac:dyDescent="0.25">
      <c r="D165" s="765" t="s">
        <v>425</v>
      </c>
      <c r="E165" s="94" t="s">
        <v>0</v>
      </c>
      <c r="F165" s="94" t="s">
        <v>1</v>
      </c>
      <c r="G165" s="94" t="s">
        <v>2</v>
      </c>
      <c r="H165" s="94" t="s">
        <v>3</v>
      </c>
      <c r="I165" s="94" t="s">
        <v>4</v>
      </c>
      <c r="J165" s="94" t="s">
        <v>5</v>
      </c>
      <c r="K165" s="94" t="s">
        <v>6</v>
      </c>
      <c r="L165" s="94" t="s">
        <v>7</v>
      </c>
      <c r="M165" s="94" t="s">
        <v>27</v>
      </c>
      <c r="N165" s="94" t="s">
        <v>9</v>
      </c>
      <c r="O165" s="94" t="s">
        <v>10</v>
      </c>
      <c r="P165" s="94" t="s">
        <v>11</v>
      </c>
      <c r="Q165" s="94" t="s">
        <v>12</v>
      </c>
      <c r="R165" s="94" t="s">
        <v>13</v>
      </c>
      <c r="S165" s="94" t="s">
        <v>14</v>
      </c>
      <c r="T165" s="94" t="s">
        <v>15</v>
      </c>
      <c r="U165" s="94" t="s">
        <v>16</v>
      </c>
      <c r="V165" s="95" t="s">
        <v>17</v>
      </c>
      <c r="W165" s="94" t="s">
        <v>18</v>
      </c>
      <c r="X165" s="94" t="s">
        <v>19</v>
      </c>
      <c r="Y165" s="94" t="s">
        <v>20</v>
      </c>
      <c r="Z165" s="97" t="s">
        <v>201</v>
      </c>
    </row>
    <row r="166" spans="4:28" x14ac:dyDescent="0.25">
      <c r="D166" s="758" t="s">
        <v>34</v>
      </c>
      <c r="E166" s="63"/>
      <c r="F166" s="63"/>
      <c r="G166" s="63"/>
      <c r="H166" s="63"/>
      <c r="I166" s="63"/>
      <c r="J166" s="63"/>
      <c r="K166" s="63"/>
      <c r="L166" s="63"/>
      <c r="M166" s="63"/>
      <c r="N166" s="63"/>
      <c r="O166" s="63"/>
      <c r="P166" s="63"/>
      <c r="Q166" s="63"/>
      <c r="R166" s="63"/>
      <c r="S166" s="468"/>
      <c r="T166" s="468"/>
      <c r="U166" s="80"/>
      <c r="V166" s="468"/>
      <c r="W166" s="468"/>
      <c r="X166" s="468"/>
      <c r="Y166" s="80"/>
      <c r="Z166" s="759"/>
      <c r="AA166" s="106"/>
      <c r="AB166" s="106"/>
    </row>
    <row r="167" spans="4:28" x14ac:dyDescent="0.25">
      <c r="D167" s="758" t="s">
        <v>35</v>
      </c>
      <c r="E167" s="63"/>
      <c r="F167" s="63"/>
      <c r="G167" s="63"/>
      <c r="H167" s="63"/>
      <c r="I167" s="63"/>
      <c r="J167" s="63"/>
      <c r="K167" s="63"/>
      <c r="L167" s="63"/>
      <c r="M167" s="63"/>
      <c r="N167" s="63"/>
      <c r="O167" s="63"/>
      <c r="P167" s="63"/>
      <c r="Q167" s="63"/>
      <c r="R167" s="63"/>
      <c r="S167" s="618"/>
      <c r="T167" s="618"/>
      <c r="U167" s="63"/>
      <c r="V167" s="618"/>
      <c r="W167" s="618"/>
      <c r="X167" s="618"/>
      <c r="Y167" s="63"/>
      <c r="Z167" s="760"/>
      <c r="AA167" s="106"/>
      <c r="AB167" s="106"/>
    </row>
    <row r="168" spans="4:28" ht="15.75" thickBot="1" x14ac:dyDescent="0.3">
      <c r="D168" s="88" t="s">
        <v>664</v>
      </c>
      <c r="E168" s="89">
        <v>2.6724320000000001</v>
      </c>
      <c r="F168" s="89">
        <v>1.741752</v>
      </c>
      <c r="G168" s="89">
        <v>4.2529169290000004</v>
      </c>
      <c r="H168" s="89">
        <v>4.9242215040000001</v>
      </c>
      <c r="I168" s="89">
        <v>1.3843510000000001</v>
      </c>
      <c r="J168" s="89">
        <v>1.779304</v>
      </c>
      <c r="K168" s="89">
        <v>6.3928450000000003</v>
      </c>
      <c r="L168" s="89">
        <v>5.9207472020000003</v>
      </c>
      <c r="M168" s="89">
        <v>1.3879999999999999</v>
      </c>
      <c r="N168" s="89">
        <v>1.3879999999999999</v>
      </c>
      <c r="O168" s="89">
        <v>8.9570000000000007</v>
      </c>
      <c r="P168" s="89">
        <v>2.0059999999999998</v>
      </c>
      <c r="Q168" s="89">
        <v>4.3550000000000004</v>
      </c>
      <c r="R168" s="89">
        <v>4.3209999999999997</v>
      </c>
      <c r="S168" s="90">
        <v>1.9510000000000001</v>
      </c>
      <c r="T168" s="90">
        <v>2.754</v>
      </c>
      <c r="U168" s="89">
        <v>2.734</v>
      </c>
      <c r="V168" s="90">
        <v>8.9320000000000004</v>
      </c>
      <c r="W168" s="90">
        <v>1.9630000000000001</v>
      </c>
      <c r="X168" s="90">
        <v>4.1840000000000002</v>
      </c>
      <c r="Y168" s="89">
        <v>13.907999999999999</v>
      </c>
      <c r="Z168" s="92">
        <v>12.68</v>
      </c>
      <c r="AA168" s="93"/>
      <c r="AB168" s="93"/>
    </row>
    <row r="169" spans="4:28" x14ac:dyDescent="0.25">
      <c r="E169" s="766">
        <f>E153+E158+E163+E168</f>
        <v>34.352325823419996</v>
      </c>
      <c r="F169" s="766">
        <f t="shared" ref="F169:W169" si="58">F153+F158+F163+F168</f>
        <v>58.154236943147197</v>
      </c>
      <c r="G169" s="766">
        <f t="shared" si="58"/>
        <v>71.468094191779002</v>
      </c>
      <c r="H169" s="766">
        <f t="shared" si="58"/>
        <v>69.249339463593401</v>
      </c>
      <c r="I169" s="766">
        <f t="shared" si="58"/>
        <v>38.789813537055004</v>
      </c>
      <c r="J169" s="766">
        <f t="shared" si="58"/>
        <v>59.656074191485004</v>
      </c>
      <c r="K169" s="766">
        <f t="shared" si="58"/>
        <v>70.937502774347891</v>
      </c>
      <c r="L169" s="766">
        <f t="shared" si="58"/>
        <v>71.337549520505007</v>
      </c>
      <c r="M169" s="766">
        <f t="shared" si="58"/>
        <v>40.579653999999998</v>
      </c>
      <c r="N169" s="766">
        <f t="shared" si="58"/>
        <v>40.725999999999999</v>
      </c>
      <c r="O169" s="766">
        <f t="shared" si="58"/>
        <v>64.788000000000011</v>
      </c>
      <c r="P169" s="766">
        <f t="shared" si="58"/>
        <v>76.206999999999994</v>
      </c>
      <c r="Q169" s="766">
        <f t="shared" si="58"/>
        <v>131.131</v>
      </c>
      <c r="R169" s="766">
        <f t="shared" si="58"/>
        <v>49.084000000000003</v>
      </c>
      <c r="S169" s="766">
        <f t="shared" si="58"/>
        <v>49.693999999999996</v>
      </c>
      <c r="T169" s="766">
        <f t="shared" si="58"/>
        <v>72.436000000000007</v>
      </c>
      <c r="U169" s="766">
        <f t="shared" si="58"/>
        <v>92.366</v>
      </c>
      <c r="V169" s="766">
        <f t="shared" si="58"/>
        <v>58.256</v>
      </c>
      <c r="W169" s="766">
        <f t="shared" si="58"/>
        <v>49.143999999999998</v>
      </c>
      <c r="X169" s="766">
        <f>X153+X158+X163+X168</f>
        <v>117.88500000000001</v>
      </c>
      <c r="Y169" s="766">
        <f>Y153+Y158+Y163+Y168</f>
        <v>93.50500000000001</v>
      </c>
    </row>
    <row r="170" spans="4:28" x14ac:dyDescent="0.25">
      <c r="E170" s="86">
        <f>E168/E169*100</f>
        <v>7.7794790773032503</v>
      </c>
      <c r="F170" s="86">
        <f t="shared" ref="F170:W170" si="59">F168/F169*100</f>
        <v>2.9950560639335246</v>
      </c>
      <c r="G170" s="86">
        <f t="shared" si="59"/>
        <v>5.9507910167404674</v>
      </c>
      <c r="H170" s="86">
        <f t="shared" si="59"/>
        <v>7.1108570018762727</v>
      </c>
      <c r="I170" s="86">
        <f t="shared" si="59"/>
        <v>3.5688519066418354</v>
      </c>
      <c r="J170" s="86">
        <f t="shared" si="59"/>
        <v>2.9826032371636826</v>
      </c>
      <c r="K170" s="86">
        <f t="shared" si="59"/>
        <v>9.0119397356510174</v>
      </c>
      <c r="L170" s="86">
        <f t="shared" si="59"/>
        <v>8.2996223472719119</v>
      </c>
      <c r="M170" s="86">
        <f t="shared" si="59"/>
        <v>3.4204333038423638</v>
      </c>
      <c r="N170" s="86">
        <f t="shared" si="59"/>
        <v>3.4081422187300494</v>
      </c>
      <c r="O170" s="86">
        <f t="shared" si="59"/>
        <v>13.825091066246834</v>
      </c>
      <c r="P170" s="86">
        <f t="shared" si="59"/>
        <v>2.6323041190441825</v>
      </c>
      <c r="Q170" s="86">
        <f t="shared" si="59"/>
        <v>3.3211063745414897</v>
      </c>
      <c r="R170" s="86">
        <f t="shared" si="59"/>
        <v>8.8032760166245598</v>
      </c>
      <c r="S170" s="86">
        <f t="shared" si="59"/>
        <v>3.9260272869964181</v>
      </c>
      <c r="T170" s="86">
        <f t="shared" si="59"/>
        <v>3.8019769175548066</v>
      </c>
      <c r="U170" s="86">
        <f t="shared" si="59"/>
        <v>2.9599636229781523</v>
      </c>
      <c r="V170" s="86">
        <f t="shared" si="59"/>
        <v>15.332326283987916</v>
      </c>
      <c r="W170" s="86">
        <f t="shared" si="59"/>
        <v>3.9943838515383363</v>
      </c>
      <c r="X170" s="86">
        <f>X168/X169*100</f>
        <v>3.5492216991135432</v>
      </c>
      <c r="Y170" s="86">
        <f>Y168/Y169*100</f>
        <v>14.874070905299181</v>
      </c>
    </row>
    <row r="177" spans="29:51" ht="15.75" thickBot="1" x14ac:dyDescent="0.3"/>
    <row r="178" spans="29:51" x14ac:dyDescent="0.25">
      <c r="AC178" s="1149" t="s">
        <v>665</v>
      </c>
      <c r="AD178" s="1150"/>
      <c r="AE178" s="171" t="s">
        <v>0</v>
      </c>
      <c r="AF178" s="94" t="s">
        <v>1</v>
      </c>
      <c r="AG178" s="94" t="s">
        <v>2</v>
      </c>
      <c r="AH178" s="94" t="s">
        <v>3</v>
      </c>
      <c r="AI178" s="94" t="s">
        <v>4</v>
      </c>
      <c r="AJ178" s="94" t="s">
        <v>5</v>
      </c>
      <c r="AK178" s="94" t="s">
        <v>6</v>
      </c>
      <c r="AL178" s="94" t="s">
        <v>7</v>
      </c>
      <c r="AM178" s="94" t="s">
        <v>27</v>
      </c>
      <c r="AN178" s="94" t="s">
        <v>9</v>
      </c>
      <c r="AO178" s="94" t="s">
        <v>10</v>
      </c>
      <c r="AP178" s="94" t="s">
        <v>11</v>
      </c>
      <c r="AQ178" s="94" t="s">
        <v>12</v>
      </c>
      <c r="AR178" s="94" t="s">
        <v>13</v>
      </c>
      <c r="AS178" s="94" t="s">
        <v>14</v>
      </c>
      <c r="AT178" s="94" t="s">
        <v>15</v>
      </c>
      <c r="AU178" s="172" t="s">
        <v>16</v>
      </c>
      <c r="AV178" s="172" t="s">
        <v>17</v>
      </c>
      <c r="AW178" s="172" t="s">
        <v>18</v>
      </c>
      <c r="AX178" s="172" t="s">
        <v>19</v>
      </c>
      <c r="AY178" s="172" t="s">
        <v>20</v>
      </c>
    </row>
    <row r="179" spans="29:51" x14ac:dyDescent="0.25">
      <c r="AC179" s="1151" t="s">
        <v>34</v>
      </c>
      <c r="AD179" s="1152"/>
      <c r="AE179" s="63">
        <v>2347.5529999999999</v>
      </c>
      <c r="AF179" s="63">
        <v>4856.6587440000003</v>
      </c>
      <c r="AG179" s="63">
        <v>35484.455078999999</v>
      </c>
      <c r="AH179" s="63">
        <v>86540.004106000008</v>
      </c>
      <c r="AI179" s="63">
        <v>35505.234837999997</v>
      </c>
      <c r="AJ179" s="63">
        <v>12666.494439</v>
      </c>
      <c r="AK179" s="63">
        <v>5785.9058500000001</v>
      </c>
      <c r="AL179" s="63">
        <v>11830.99847</v>
      </c>
      <c r="AM179" s="63">
        <v>3093</v>
      </c>
      <c r="AN179" s="64">
        <v>4687</v>
      </c>
      <c r="AO179" s="63">
        <v>9074</v>
      </c>
      <c r="AP179" s="63">
        <v>7527</v>
      </c>
      <c r="AQ179" s="63">
        <v>8115</v>
      </c>
      <c r="AR179" s="63">
        <v>8827</v>
      </c>
      <c r="AS179" s="63">
        <v>8656</v>
      </c>
      <c r="AT179" s="63">
        <v>10037</v>
      </c>
      <c r="AU179" s="63">
        <v>7699</v>
      </c>
      <c r="AV179" s="63">
        <v>6086</v>
      </c>
      <c r="AW179" s="63">
        <v>11412</v>
      </c>
      <c r="AX179" s="63">
        <v>10857</v>
      </c>
      <c r="AY179" s="63">
        <v>12604</v>
      </c>
    </row>
    <row r="199" spans="4:25" x14ac:dyDescent="0.25">
      <c r="G199" t="s">
        <v>1</v>
      </c>
      <c r="H199" t="s">
        <v>2</v>
      </c>
      <c r="I199" t="s">
        <v>3</v>
      </c>
      <c r="J199" t="s">
        <v>4</v>
      </c>
      <c r="K199" t="s">
        <v>5</v>
      </c>
      <c r="L199" t="s">
        <v>6</v>
      </c>
      <c r="M199" t="s">
        <v>7</v>
      </c>
      <c r="N199" t="s">
        <v>27</v>
      </c>
      <c r="O199" t="s">
        <v>9</v>
      </c>
      <c r="P199" t="s">
        <v>10</v>
      </c>
      <c r="Q199" t="s">
        <v>11</v>
      </c>
      <c r="R199" t="s">
        <v>12</v>
      </c>
      <c r="S199" t="s">
        <v>13</v>
      </c>
      <c r="T199" t="s">
        <v>14</v>
      </c>
      <c r="U199" t="s">
        <v>15</v>
      </c>
      <c r="V199" t="s">
        <v>16</v>
      </c>
      <c r="W199" t="s">
        <v>17</v>
      </c>
      <c r="X199" t="s">
        <v>18</v>
      </c>
      <c r="Y199" t="s">
        <v>19</v>
      </c>
    </row>
    <row r="200" spans="4:25" x14ac:dyDescent="0.25">
      <c r="D200" t="s">
        <v>666</v>
      </c>
      <c r="E200" s="27"/>
      <c r="F200" s="27"/>
      <c r="G200" s="27">
        <v>120.10119771165867</v>
      </c>
      <c r="H200" s="27">
        <v>25.893436666036379</v>
      </c>
      <c r="I200" s="27">
        <v>-23.137596245639088</v>
      </c>
      <c r="J200" s="27">
        <v>321.30603872403219</v>
      </c>
      <c r="K200" s="27">
        <v>-75.224207806717146</v>
      </c>
      <c r="L200" s="27">
        <v>-20.929991555319702</v>
      </c>
      <c r="M200" s="27">
        <v>7.4659764778119779</v>
      </c>
      <c r="N200" s="27">
        <v>-47.997436814959251</v>
      </c>
      <c r="O200" s="27">
        <v>76.228644677242244</v>
      </c>
      <c r="P200" s="27">
        <v>-19.274977895667547</v>
      </c>
      <c r="Q200" s="27">
        <v>67.907995618838981</v>
      </c>
      <c r="R200" s="27">
        <v>11.205334493005708</v>
      </c>
      <c r="S200" s="27">
        <v>-33.657042299419928</v>
      </c>
      <c r="T200" s="27">
        <v>55.496610669024449</v>
      </c>
      <c r="U200" s="27">
        <v>-35.456153651756381</v>
      </c>
      <c r="V200" s="27">
        <v>-10.552075176194194</v>
      </c>
      <c r="W200" s="27">
        <v>-44.386080105055811</v>
      </c>
      <c r="X200" s="27">
        <v>158.38252656434474</v>
      </c>
      <c r="Y200" s="27">
        <v>123.92049348869088</v>
      </c>
    </row>
    <row r="201" spans="4:25" x14ac:dyDescent="0.25">
      <c r="D201" t="s">
        <v>667</v>
      </c>
      <c r="G201" s="27">
        <v>538.66491310189156</v>
      </c>
      <c r="H201" s="27">
        <v>-20.024884696786302</v>
      </c>
      <c r="I201" s="27">
        <v>125.64177881551348</v>
      </c>
      <c r="J201" s="27">
        <v>-50.229490400074702</v>
      </c>
      <c r="K201" s="27">
        <v>38.178050349188823</v>
      </c>
      <c r="L201" s="27">
        <v>-29.138530313876117</v>
      </c>
      <c r="M201" s="27">
        <v>67.804224482400741</v>
      </c>
      <c r="N201" s="27">
        <v>-43.1481112795191</v>
      </c>
      <c r="O201" s="27">
        <v>7.5111126489559865E-3</v>
      </c>
      <c r="P201" s="27">
        <v>213.05907172995779</v>
      </c>
      <c r="Q201" s="27">
        <v>5.3642428735089851</v>
      </c>
      <c r="R201" s="27">
        <v>-20.294211704509109</v>
      </c>
      <c r="S201" s="27">
        <v>-63.745787193066924</v>
      </c>
      <c r="T201" s="27">
        <v>-36.520584329349269</v>
      </c>
      <c r="U201" s="27">
        <v>337.37796373779645</v>
      </c>
      <c r="V201" s="27">
        <v>19.268176020408163</v>
      </c>
      <c r="W201" s="27">
        <v>-55.223581311409667</v>
      </c>
      <c r="X201" s="27">
        <v>71.607702642185416</v>
      </c>
      <c r="Y201" s="27">
        <v>358.89874739039664</v>
      </c>
    </row>
  </sheetData>
  <mergeCells count="64">
    <mergeCell ref="D148:Z148"/>
    <mergeCell ref="AC178:AD178"/>
    <mergeCell ref="AC179:AD179"/>
    <mergeCell ref="AL58:AM58"/>
    <mergeCell ref="D61:I61"/>
    <mergeCell ref="AS58:AU58"/>
    <mergeCell ref="AC66:AX66"/>
    <mergeCell ref="AC85:AX85"/>
    <mergeCell ref="AV58:AW58"/>
    <mergeCell ref="D91:Z91"/>
    <mergeCell ref="AV51:AW51"/>
    <mergeCell ref="D55:I55"/>
    <mergeCell ref="AC57:AC59"/>
    <mergeCell ref="AD57:AH57"/>
    <mergeCell ref="AI57:AM57"/>
    <mergeCell ref="AN57:AR57"/>
    <mergeCell ref="AS57:AW57"/>
    <mergeCell ref="AD58:AF58"/>
    <mergeCell ref="AG58:AH58"/>
    <mergeCell ref="AI58:AK58"/>
    <mergeCell ref="AG51:AH51"/>
    <mergeCell ref="AI51:AK51"/>
    <mergeCell ref="AL51:AM51"/>
    <mergeCell ref="AN51:AP51"/>
    <mergeCell ref="AN58:AP58"/>
    <mergeCell ref="AQ58:AR58"/>
    <mergeCell ref="AS35:AU35"/>
    <mergeCell ref="AV42:AW42"/>
    <mergeCell ref="AC50:AC52"/>
    <mergeCell ref="AD50:AH50"/>
    <mergeCell ref="AI50:AM50"/>
    <mergeCell ref="AN50:AR50"/>
    <mergeCell ref="AS50:AW50"/>
    <mergeCell ref="AD51:AF51"/>
    <mergeCell ref="AQ51:AR51"/>
    <mergeCell ref="AS51:AU51"/>
    <mergeCell ref="AN42:AP42"/>
    <mergeCell ref="AQ42:AR42"/>
    <mergeCell ref="AS42:AU42"/>
    <mergeCell ref="AC41:AC43"/>
    <mergeCell ref="AD41:AH41"/>
    <mergeCell ref="AI41:AM41"/>
    <mergeCell ref="AN41:AR41"/>
    <mergeCell ref="AS41:AW41"/>
    <mergeCell ref="AD42:AF42"/>
    <mergeCell ref="AG42:AH42"/>
    <mergeCell ref="AI42:AK42"/>
    <mergeCell ref="AL42:AM42"/>
    <mergeCell ref="AE4:AU4"/>
    <mergeCell ref="AE16:AU16"/>
    <mergeCell ref="D29:I29"/>
    <mergeCell ref="AC32:AW32"/>
    <mergeCell ref="AC34:AC36"/>
    <mergeCell ref="AD34:AH34"/>
    <mergeCell ref="AI34:AM34"/>
    <mergeCell ref="AN34:AR34"/>
    <mergeCell ref="AS34:AW34"/>
    <mergeCell ref="AD35:AF35"/>
    <mergeCell ref="AV35:AW35"/>
    <mergeCell ref="AG35:AH35"/>
    <mergeCell ref="AI35:AK35"/>
    <mergeCell ref="AL35:AM35"/>
    <mergeCell ref="AN35:AP35"/>
    <mergeCell ref="AQ35:AR35"/>
  </mergeCells>
  <pageMargins left="0.7" right="0.7" top="0.75" bottom="0.75" header="0.3" footer="0.3"/>
  <pageSetup paperSize="9" orientation="portrait" r:id="rId1"/>
  <drawing r:id="rId2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4"/>
  <sheetViews>
    <sheetView topLeftCell="A16" zoomScale="85" zoomScaleNormal="85" workbookViewId="0">
      <selection activeCell="I119" sqref="I119"/>
    </sheetView>
  </sheetViews>
  <sheetFormatPr defaultColWidth="9.140625" defaultRowHeight="15" x14ac:dyDescent="0.25"/>
  <cols>
    <col min="2" max="2" width="20.85546875" bestFit="1" customWidth="1"/>
    <col min="3" max="3" width="21" bestFit="1" customWidth="1"/>
    <col min="4" max="4" width="23.28515625" bestFit="1" customWidth="1"/>
    <col min="5" max="5" width="22.7109375" bestFit="1" customWidth="1"/>
    <col min="6" max="6" width="20.42578125" bestFit="1" customWidth="1"/>
    <col min="7" max="7" width="13.28515625" bestFit="1" customWidth="1"/>
    <col min="10" max="10" width="20.85546875" bestFit="1" customWidth="1"/>
    <col min="11" max="11" width="10.140625" customWidth="1"/>
    <col min="12" max="12" width="9.28515625" bestFit="1" customWidth="1"/>
    <col min="13" max="13" width="21.42578125" bestFit="1" customWidth="1"/>
    <col min="14" max="14" width="10.140625" customWidth="1"/>
    <col min="15" max="15" width="20.85546875" bestFit="1" customWidth="1"/>
    <col min="16" max="16" width="21.42578125" bestFit="1" customWidth="1"/>
    <col min="17" max="17" width="10.140625" customWidth="1"/>
    <col min="18" max="20" width="9.140625" customWidth="1"/>
    <col min="21" max="21" width="17.85546875" bestFit="1" customWidth="1"/>
    <col min="22" max="22" width="9.140625" customWidth="1"/>
    <col min="25" max="25" width="20.85546875" bestFit="1" customWidth="1"/>
    <col min="26" max="26" width="21" bestFit="1" customWidth="1"/>
    <col min="27" max="27" width="23.28515625" bestFit="1" customWidth="1"/>
    <col min="28" max="28" width="22.7109375" bestFit="1" customWidth="1"/>
    <col min="29" max="29" width="20.42578125" bestFit="1" customWidth="1"/>
  </cols>
  <sheetData>
    <row r="1" spans="1:32" ht="19.5" thickBot="1" x14ac:dyDescent="0.35">
      <c r="B1" s="1153" t="s">
        <v>668</v>
      </c>
      <c r="C1" s="1153"/>
      <c r="D1" s="1153"/>
      <c r="E1" s="1153"/>
      <c r="F1" s="1154"/>
      <c r="G1" s="767"/>
      <c r="Y1" s="1155" t="s">
        <v>669</v>
      </c>
      <c r="Z1" s="1156"/>
      <c r="AA1" s="1156"/>
      <c r="AB1" s="1156"/>
      <c r="AC1" s="1157"/>
    </row>
    <row r="2" spans="1:32" x14ac:dyDescent="0.25">
      <c r="A2" s="1158"/>
      <c r="B2" s="1160" t="s">
        <v>670</v>
      </c>
      <c r="C2" s="1161"/>
      <c r="D2" s="1164" t="s">
        <v>671</v>
      </c>
      <c r="E2" s="1166" t="s">
        <v>672</v>
      </c>
      <c r="F2" s="1168" t="s">
        <v>139</v>
      </c>
      <c r="G2" s="1170" t="s">
        <v>177</v>
      </c>
      <c r="I2" s="1170" t="s">
        <v>673</v>
      </c>
      <c r="L2" s="1172" t="s">
        <v>674</v>
      </c>
      <c r="M2" s="768"/>
      <c r="N2" s="1170" t="s">
        <v>673</v>
      </c>
      <c r="O2" s="299"/>
      <c r="P2" s="299"/>
      <c r="R2" s="1188" t="s">
        <v>675</v>
      </c>
      <c r="S2" s="769"/>
      <c r="T2" s="1170" t="s">
        <v>673</v>
      </c>
      <c r="U2" s="769"/>
      <c r="V2" s="769"/>
      <c r="X2" s="1158"/>
      <c r="Y2" s="1160" t="s">
        <v>670</v>
      </c>
      <c r="Z2" s="1161"/>
      <c r="AA2" s="1174" t="s">
        <v>671</v>
      </c>
      <c r="AB2" s="1174" t="s">
        <v>672</v>
      </c>
      <c r="AC2" s="1174" t="s">
        <v>139</v>
      </c>
      <c r="AD2" s="1170" t="s">
        <v>177</v>
      </c>
      <c r="AF2" s="1170" t="s">
        <v>673</v>
      </c>
    </row>
    <row r="3" spans="1:32" ht="15.75" thickBot="1" x14ac:dyDescent="0.3">
      <c r="A3" s="1159"/>
      <c r="B3" s="1162"/>
      <c r="C3" s="1163"/>
      <c r="D3" s="1165"/>
      <c r="E3" s="1167"/>
      <c r="F3" s="1169"/>
      <c r="G3" s="1171"/>
      <c r="H3" s="27"/>
      <c r="I3" s="1171"/>
      <c r="L3" s="1173"/>
      <c r="M3" s="770"/>
      <c r="N3" s="1171"/>
      <c r="O3" s="299"/>
      <c r="P3" s="299"/>
      <c r="R3" s="1189"/>
      <c r="S3" s="147"/>
      <c r="T3" s="1171"/>
      <c r="U3" s="147"/>
      <c r="V3" s="147"/>
      <c r="X3" s="1159"/>
      <c r="Y3" s="1162"/>
      <c r="Z3" s="1163"/>
      <c r="AA3" s="1175"/>
      <c r="AB3" s="1175"/>
      <c r="AC3" s="1175"/>
      <c r="AD3" s="1171"/>
      <c r="AF3" s="1171"/>
    </row>
    <row r="4" spans="1:32" x14ac:dyDescent="0.25">
      <c r="A4" s="1176">
        <v>1</v>
      </c>
      <c r="B4" s="1178" t="s">
        <v>676</v>
      </c>
      <c r="C4" s="771" t="s">
        <v>568</v>
      </c>
      <c r="D4" s="772">
        <v>1636</v>
      </c>
      <c r="E4" s="772">
        <v>157</v>
      </c>
      <c r="F4" s="773">
        <f>SUM(D4:E4)</f>
        <v>1793</v>
      </c>
      <c r="G4" s="1180">
        <f>SUM(F4:F5)</f>
        <v>60469</v>
      </c>
      <c r="H4" s="1182">
        <v>1</v>
      </c>
      <c r="I4" s="1184">
        <v>163371</v>
      </c>
      <c r="J4" s="1186" t="s">
        <v>677</v>
      </c>
      <c r="K4" s="774"/>
      <c r="L4" s="1194">
        <f>D4+D5</f>
        <v>33326</v>
      </c>
      <c r="M4" s="1182">
        <v>1</v>
      </c>
      <c r="N4" s="1184">
        <v>128738</v>
      </c>
      <c r="O4" s="1186" t="s">
        <v>678</v>
      </c>
      <c r="P4" s="775"/>
      <c r="Q4" s="774"/>
      <c r="R4" s="1195">
        <f>E4+E5</f>
        <v>27143</v>
      </c>
      <c r="S4" s="1182">
        <v>1</v>
      </c>
      <c r="T4" s="1184">
        <v>70177</v>
      </c>
      <c r="U4" s="1186" t="s">
        <v>677</v>
      </c>
      <c r="V4" s="774"/>
      <c r="X4" s="1182">
        <v>1</v>
      </c>
      <c r="Y4" s="1190" t="s">
        <v>676</v>
      </c>
      <c r="Z4" s="190" t="s">
        <v>568</v>
      </c>
      <c r="AA4" s="776">
        <v>706</v>
      </c>
      <c r="AB4" s="776">
        <v>22</v>
      </c>
      <c r="AC4" s="777">
        <f t="shared" ref="AC4:AC65" si="0">SUM(AA4:AB4)</f>
        <v>728</v>
      </c>
      <c r="AD4" s="1192">
        <f>SUM(AC4:AC5)</f>
        <v>11414</v>
      </c>
      <c r="AF4" s="1192">
        <v>52534.59</v>
      </c>
    </row>
    <row r="5" spans="1:32" x14ac:dyDescent="0.25">
      <c r="A5" s="1177"/>
      <c r="B5" s="1179"/>
      <c r="C5" s="778" t="s">
        <v>569</v>
      </c>
      <c r="D5" s="779">
        <v>31690</v>
      </c>
      <c r="E5" s="779">
        <v>26986</v>
      </c>
      <c r="F5" s="780">
        <f>SUM(D5:E5)</f>
        <v>58676</v>
      </c>
      <c r="G5" s="1181"/>
      <c r="H5" s="1183"/>
      <c r="I5" s="1185"/>
      <c r="J5" s="1187"/>
      <c r="K5" s="774"/>
      <c r="L5" s="1181"/>
      <c r="M5" s="1183"/>
      <c r="N5" s="1185"/>
      <c r="O5" s="1187"/>
      <c r="P5" s="775"/>
      <c r="Q5" s="774"/>
      <c r="R5" s="1181"/>
      <c r="S5" s="1183"/>
      <c r="T5" s="1185"/>
      <c r="U5" s="1187"/>
      <c r="V5" s="774"/>
      <c r="X5" s="1183"/>
      <c r="Y5" s="1191"/>
      <c r="Z5" t="s">
        <v>569</v>
      </c>
      <c r="AA5" s="781">
        <v>6846</v>
      </c>
      <c r="AB5" s="781">
        <v>3840</v>
      </c>
      <c r="AC5" s="782">
        <f t="shared" si="0"/>
        <v>10686</v>
      </c>
      <c r="AD5" s="1193"/>
      <c r="AF5" s="1193"/>
    </row>
    <row r="6" spans="1:32" x14ac:dyDescent="0.25">
      <c r="A6" s="1183">
        <v>2</v>
      </c>
      <c r="B6" s="1196" t="s">
        <v>679</v>
      </c>
      <c r="C6" s="783" t="s">
        <v>568</v>
      </c>
      <c r="D6" s="784">
        <v>309</v>
      </c>
      <c r="E6" s="784">
        <v>35</v>
      </c>
      <c r="F6" s="28">
        <f>SUM(D6:E6)</f>
        <v>344</v>
      </c>
      <c r="G6" s="1192">
        <f>SUM(F6:F7)</f>
        <v>51934</v>
      </c>
      <c r="H6" s="1183">
        <v>2</v>
      </c>
      <c r="I6" s="1184">
        <v>150892</v>
      </c>
      <c r="J6" s="1186" t="s">
        <v>680</v>
      </c>
      <c r="K6" s="774"/>
      <c r="L6" s="1198">
        <f>D6+D7</f>
        <v>17654</v>
      </c>
      <c r="M6" s="1183">
        <v>2</v>
      </c>
      <c r="N6" s="1184">
        <v>104572</v>
      </c>
      <c r="O6" s="1186" t="s">
        <v>680</v>
      </c>
      <c r="P6" s="775"/>
      <c r="Q6" s="774"/>
      <c r="R6" s="1198">
        <f>E6+E7</f>
        <v>34280</v>
      </c>
      <c r="S6" s="1183">
        <v>2</v>
      </c>
      <c r="T6" s="1184">
        <v>63845.27</v>
      </c>
      <c r="U6" s="1186" t="s">
        <v>681</v>
      </c>
      <c r="V6" s="774"/>
      <c r="X6" s="1183">
        <v>2</v>
      </c>
      <c r="Y6" s="1196" t="s">
        <v>679</v>
      </c>
      <c r="Z6" s="783" t="s">
        <v>568</v>
      </c>
      <c r="AA6" s="784">
        <v>198</v>
      </c>
      <c r="AB6" s="784">
        <v>44</v>
      </c>
      <c r="AC6" s="5">
        <f t="shared" si="0"/>
        <v>242</v>
      </c>
      <c r="AD6" s="1192">
        <f>SUM(AC6:AC7)</f>
        <v>5959</v>
      </c>
      <c r="AF6" s="1192">
        <v>25999</v>
      </c>
    </row>
    <row r="7" spans="1:32" x14ac:dyDescent="0.25">
      <c r="A7" s="1183"/>
      <c r="B7" s="1197"/>
      <c r="C7" s="727" t="s">
        <v>569</v>
      </c>
      <c r="D7" s="785">
        <v>17345</v>
      </c>
      <c r="E7" s="785">
        <v>34245</v>
      </c>
      <c r="F7" s="28">
        <f>D7+E7</f>
        <v>51590</v>
      </c>
      <c r="G7" s="1193"/>
      <c r="H7" s="1183"/>
      <c r="I7" s="1185"/>
      <c r="J7" s="1187"/>
      <c r="K7" s="774"/>
      <c r="L7" s="1181"/>
      <c r="M7" s="1183"/>
      <c r="N7" s="1185"/>
      <c r="O7" s="1187"/>
      <c r="P7" s="775"/>
      <c r="Q7" s="774"/>
      <c r="R7" s="1181"/>
      <c r="S7" s="1183"/>
      <c r="T7" s="1185"/>
      <c r="U7" s="1187"/>
      <c r="V7" s="774"/>
      <c r="X7" s="1183"/>
      <c r="Y7" s="1197"/>
      <c r="Z7" s="727" t="s">
        <v>569</v>
      </c>
      <c r="AA7" s="781">
        <v>3828</v>
      </c>
      <c r="AB7" s="786">
        <v>1889</v>
      </c>
      <c r="AC7" s="5">
        <f t="shared" si="0"/>
        <v>5717</v>
      </c>
      <c r="AD7" s="1193"/>
      <c r="AF7" s="1193"/>
    </row>
    <row r="8" spans="1:32" x14ac:dyDescent="0.25">
      <c r="A8" s="1183">
        <v>3</v>
      </c>
      <c r="B8" s="1196" t="s">
        <v>682</v>
      </c>
      <c r="C8" s="783" t="s">
        <v>568</v>
      </c>
      <c r="D8" s="786">
        <v>0</v>
      </c>
      <c r="E8" s="786">
        <v>0</v>
      </c>
      <c r="F8" s="28">
        <f t="shared" ref="F8:F65" si="1">SUM(D8:E8)</f>
        <v>0</v>
      </c>
      <c r="G8" s="1192">
        <f>SUM(F8:F9)</f>
        <v>23001</v>
      </c>
      <c r="H8" s="1183">
        <v>3</v>
      </c>
      <c r="I8" s="1184">
        <v>144862</v>
      </c>
      <c r="J8" s="1186" t="s">
        <v>678</v>
      </c>
      <c r="K8" s="774"/>
      <c r="L8" s="1199">
        <f>D8+D9</f>
        <v>5017</v>
      </c>
      <c r="M8" s="1183">
        <v>3</v>
      </c>
      <c r="N8" s="1184">
        <v>93194</v>
      </c>
      <c r="O8" s="1186" t="s">
        <v>677</v>
      </c>
      <c r="P8" s="775"/>
      <c r="Q8" s="774"/>
      <c r="R8" s="1199">
        <f>E8+E9</f>
        <v>17984</v>
      </c>
      <c r="S8" s="1183">
        <v>3</v>
      </c>
      <c r="T8" s="1184">
        <v>60596</v>
      </c>
      <c r="U8" s="1186" t="s">
        <v>683</v>
      </c>
      <c r="V8" s="774"/>
      <c r="X8" s="1183">
        <v>3</v>
      </c>
      <c r="Y8" s="1196" t="s">
        <v>684</v>
      </c>
      <c r="Z8" s="783" t="s">
        <v>568</v>
      </c>
      <c r="AA8" s="786" t="s">
        <v>685</v>
      </c>
      <c r="AB8" s="786" t="s">
        <v>685</v>
      </c>
      <c r="AC8" s="5">
        <f t="shared" si="0"/>
        <v>0</v>
      </c>
      <c r="AD8" s="1192">
        <f>SUM(AC8:AC9)</f>
        <v>4717</v>
      </c>
      <c r="AF8" s="1192">
        <v>20950</v>
      </c>
    </row>
    <row r="9" spans="1:32" x14ac:dyDescent="0.25">
      <c r="A9" s="1183"/>
      <c r="B9" s="1197"/>
      <c r="C9" s="727" t="s">
        <v>569</v>
      </c>
      <c r="D9" s="786">
        <v>5017</v>
      </c>
      <c r="E9" s="786">
        <v>17984</v>
      </c>
      <c r="F9" s="28">
        <f t="shared" si="1"/>
        <v>23001</v>
      </c>
      <c r="G9" s="1193"/>
      <c r="H9" s="1183"/>
      <c r="I9" s="1185"/>
      <c r="J9" s="1187"/>
      <c r="K9" s="774"/>
      <c r="L9" s="1193"/>
      <c r="M9" s="1183"/>
      <c r="N9" s="1185"/>
      <c r="O9" s="1187"/>
      <c r="P9" s="775"/>
      <c r="Q9" s="774"/>
      <c r="R9" s="1193"/>
      <c r="S9" s="1183"/>
      <c r="T9" s="1185"/>
      <c r="U9" s="1187"/>
      <c r="V9" s="774"/>
      <c r="X9" s="1183"/>
      <c r="Y9" s="1197"/>
      <c r="Z9" s="727" t="s">
        <v>569</v>
      </c>
      <c r="AA9" s="786">
        <v>720</v>
      </c>
      <c r="AB9" s="786">
        <v>3997</v>
      </c>
      <c r="AC9" s="5">
        <f t="shared" si="0"/>
        <v>4717</v>
      </c>
      <c r="AD9" s="1193"/>
      <c r="AF9" s="1193"/>
    </row>
    <row r="10" spans="1:32" x14ac:dyDescent="0.25">
      <c r="A10" s="1183">
        <v>4</v>
      </c>
      <c r="B10" s="1196" t="s">
        <v>686</v>
      </c>
      <c r="C10" s="783" t="s">
        <v>568</v>
      </c>
      <c r="D10" s="786">
        <v>0</v>
      </c>
      <c r="E10" s="786">
        <v>0</v>
      </c>
      <c r="F10" s="28">
        <f t="shared" si="1"/>
        <v>0</v>
      </c>
      <c r="G10" s="1192">
        <f>SUM(F10:F11)</f>
        <v>0</v>
      </c>
      <c r="H10" s="1183">
        <v>4</v>
      </c>
      <c r="I10" s="1184">
        <v>97579.049999999988</v>
      </c>
      <c r="J10" s="1186" t="s">
        <v>687</v>
      </c>
      <c r="K10" s="774"/>
      <c r="L10" s="1199">
        <f>D10+D11</f>
        <v>0</v>
      </c>
      <c r="M10" s="1183">
        <v>4</v>
      </c>
      <c r="N10" s="1184">
        <v>92665.182000000001</v>
      </c>
      <c r="O10" s="1186" t="s">
        <v>687</v>
      </c>
      <c r="P10" s="775"/>
      <c r="Q10" s="774"/>
      <c r="R10" s="1199">
        <f>E10+E11</f>
        <v>0</v>
      </c>
      <c r="S10" s="1183">
        <v>4</v>
      </c>
      <c r="T10" s="1184">
        <v>46320</v>
      </c>
      <c r="U10" s="1186" t="s">
        <v>680</v>
      </c>
      <c r="V10" s="774"/>
      <c r="X10" s="1183">
        <v>4</v>
      </c>
      <c r="Y10" s="1196" t="s">
        <v>686</v>
      </c>
      <c r="Z10" s="783" t="s">
        <v>568</v>
      </c>
      <c r="AA10" s="786" t="s">
        <v>685</v>
      </c>
      <c r="AB10" s="786" t="s">
        <v>685</v>
      </c>
      <c r="AC10" s="5">
        <f t="shared" si="0"/>
        <v>0</v>
      </c>
      <c r="AD10" s="1192">
        <f>SUM(AC10:AC11)</f>
        <v>0</v>
      </c>
      <c r="AF10" s="1192">
        <v>18586.718000000001</v>
      </c>
    </row>
    <row r="11" spans="1:32" x14ac:dyDescent="0.25">
      <c r="A11" s="1183"/>
      <c r="B11" s="1197"/>
      <c r="C11" s="727" t="s">
        <v>569</v>
      </c>
      <c r="D11" s="786">
        <v>0</v>
      </c>
      <c r="E11" s="786">
        <v>0</v>
      </c>
      <c r="F11" s="28">
        <f t="shared" si="1"/>
        <v>0</v>
      </c>
      <c r="G11" s="1193"/>
      <c r="H11" s="1183"/>
      <c r="I11" s="1185"/>
      <c r="J11" s="1187"/>
      <c r="K11" s="774"/>
      <c r="L11" s="1193"/>
      <c r="M11" s="1183"/>
      <c r="N11" s="1185"/>
      <c r="O11" s="1187"/>
      <c r="P11" s="775"/>
      <c r="Q11" s="774"/>
      <c r="R11" s="1193"/>
      <c r="S11" s="1183"/>
      <c r="T11" s="1185"/>
      <c r="U11" s="1187"/>
      <c r="V11" s="774"/>
      <c r="X11" s="1183"/>
      <c r="Y11" s="1197"/>
      <c r="Z11" s="727" t="s">
        <v>569</v>
      </c>
      <c r="AA11" s="786" t="s">
        <v>685</v>
      </c>
      <c r="AB11" s="786" t="s">
        <v>685</v>
      </c>
      <c r="AC11" s="5">
        <f t="shared" si="0"/>
        <v>0</v>
      </c>
      <c r="AD11" s="1193"/>
      <c r="AF11" s="1193"/>
    </row>
    <row r="12" spans="1:32" x14ac:dyDescent="0.25">
      <c r="A12" s="1183">
        <v>5</v>
      </c>
      <c r="B12" s="1196" t="s">
        <v>688</v>
      </c>
      <c r="C12" s="783" t="s">
        <v>568</v>
      </c>
      <c r="D12" s="786">
        <v>0</v>
      </c>
      <c r="E12" s="786">
        <v>0</v>
      </c>
      <c r="F12" s="28">
        <f t="shared" si="1"/>
        <v>0</v>
      </c>
      <c r="G12" s="1192">
        <f>SUM(F12:F13)</f>
        <v>32037</v>
      </c>
      <c r="H12" s="1183">
        <v>5</v>
      </c>
      <c r="I12" s="1184">
        <v>89394</v>
      </c>
      <c r="J12" s="1186" t="s">
        <v>683</v>
      </c>
      <c r="K12" s="774"/>
      <c r="L12" s="1199">
        <f>D12+D13</f>
        <v>3784</v>
      </c>
      <c r="M12" s="1183">
        <v>5</v>
      </c>
      <c r="N12" s="1184">
        <v>39611</v>
      </c>
      <c r="O12" s="1186" t="s">
        <v>689</v>
      </c>
      <c r="P12" s="775"/>
      <c r="Q12" s="774"/>
      <c r="R12" s="1198">
        <f>E12+E13</f>
        <v>28253</v>
      </c>
      <c r="S12" s="1183">
        <v>5</v>
      </c>
      <c r="T12" s="1184">
        <v>38799</v>
      </c>
      <c r="U12" s="1186" t="s">
        <v>690</v>
      </c>
      <c r="V12" s="774"/>
      <c r="X12" s="1183">
        <v>5</v>
      </c>
      <c r="Y12" s="1196" t="s">
        <v>691</v>
      </c>
      <c r="Z12" s="783" t="s">
        <v>568</v>
      </c>
      <c r="AA12" s="786" t="s">
        <v>685</v>
      </c>
      <c r="AB12" s="786" t="s">
        <v>685</v>
      </c>
      <c r="AC12" s="5">
        <f t="shared" si="0"/>
        <v>0</v>
      </c>
      <c r="AD12" s="1192">
        <f>SUM(AC12:AC13)</f>
        <v>6663</v>
      </c>
      <c r="AF12" s="1192">
        <v>16902</v>
      </c>
    </row>
    <row r="13" spans="1:32" ht="15.75" thickBot="1" x14ac:dyDescent="0.3">
      <c r="A13" s="1183"/>
      <c r="B13" s="1197"/>
      <c r="C13" s="727" t="s">
        <v>569</v>
      </c>
      <c r="D13" s="786">
        <v>3784</v>
      </c>
      <c r="E13" s="786">
        <v>28253</v>
      </c>
      <c r="F13" s="28">
        <f t="shared" si="1"/>
        <v>32037</v>
      </c>
      <c r="G13" s="1193"/>
      <c r="H13" s="1183"/>
      <c r="I13" s="1185"/>
      <c r="J13" s="1187"/>
      <c r="K13" s="774"/>
      <c r="L13" s="1193"/>
      <c r="M13" s="1183"/>
      <c r="N13" s="1185"/>
      <c r="O13" s="1187"/>
      <c r="P13" s="775"/>
      <c r="Q13" s="774"/>
      <c r="R13" s="1181"/>
      <c r="S13" s="1183"/>
      <c r="T13" s="1185"/>
      <c r="U13" s="1187"/>
      <c r="V13" s="774"/>
      <c r="X13" s="1183"/>
      <c r="Y13" s="1197"/>
      <c r="Z13" s="727" t="s">
        <v>569</v>
      </c>
      <c r="AA13" s="786">
        <v>1825</v>
      </c>
      <c r="AB13" s="786">
        <v>4838</v>
      </c>
      <c r="AC13" s="5">
        <f t="shared" si="0"/>
        <v>6663</v>
      </c>
      <c r="AD13" s="1193"/>
      <c r="AF13" s="1193"/>
    </row>
    <row r="14" spans="1:32" x14ac:dyDescent="0.25">
      <c r="A14" s="1183">
        <v>6</v>
      </c>
      <c r="B14" s="1196" t="s">
        <v>692</v>
      </c>
      <c r="C14" s="783" t="s">
        <v>568</v>
      </c>
      <c r="D14" s="786">
        <v>264</v>
      </c>
      <c r="E14" s="786">
        <v>0</v>
      </c>
      <c r="F14" s="28">
        <f t="shared" si="1"/>
        <v>264</v>
      </c>
      <c r="G14" s="1192">
        <f>SUM(F14:F15)</f>
        <v>264</v>
      </c>
      <c r="H14" s="1200">
        <v>6</v>
      </c>
      <c r="I14" s="1201">
        <v>67974.62</v>
      </c>
      <c r="J14" s="1203" t="s">
        <v>681</v>
      </c>
      <c r="K14" s="774"/>
      <c r="L14" s="1199">
        <f>D14+D15</f>
        <v>264</v>
      </c>
      <c r="M14" s="1183">
        <v>6</v>
      </c>
      <c r="N14" s="1201">
        <v>33326</v>
      </c>
      <c r="O14" s="1205" t="s">
        <v>676</v>
      </c>
      <c r="P14" s="775"/>
      <c r="Q14" s="774"/>
      <c r="R14" s="1199">
        <f>E14+E15</f>
        <v>0</v>
      </c>
      <c r="S14" s="1183">
        <v>6</v>
      </c>
      <c r="T14" s="1201">
        <v>38456</v>
      </c>
      <c r="U14" s="1203" t="s">
        <v>693</v>
      </c>
      <c r="V14" s="774"/>
      <c r="X14" s="1183">
        <v>6</v>
      </c>
      <c r="Y14" s="1196" t="s">
        <v>692</v>
      </c>
      <c r="Z14" s="783" t="s">
        <v>568</v>
      </c>
      <c r="AA14" s="786" t="s">
        <v>685</v>
      </c>
      <c r="AB14" s="786" t="s">
        <v>685</v>
      </c>
      <c r="AC14" s="5">
        <f t="shared" si="0"/>
        <v>0</v>
      </c>
      <c r="AD14" s="1192">
        <f>SUM(AC14:AC15)</f>
        <v>0</v>
      </c>
      <c r="AF14" s="1192">
        <v>16662</v>
      </c>
    </row>
    <row r="15" spans="1:32" x14ac:dyDescent="0.25">
      <c r="A15" s="1183"/>
      <c r="B15" s="1197"/>
      <c r="C15" s="727" t="s">
        <v>569</v>
      </c>
      <c r="D15" s="786">
        <v>0</v>
      </c>
      <c r="E15" s="786">
        <v>0</v>
      </c>
      <c r="F15" s="28">
        <f t="shared" si="1"/>
        <v>0</v>
      </c>
      <c r="G15" s="1193"/>
      <c r="H15" s="1200"/>
      <c r="I15" s="1202"/>
      <c r="J15" s="1204"/>
      <c r="K15" s="774"/>
      <c r="L15" s="1193"/>
      <c r="M15" s="1183"/>
      <c r="N15" s="1202"/>
      <c r="O15" s="1204"/>
      <c r="P15" s="775"/>
      <c r="Q15" s="774"/>
      <c r="R15" s="1193"/>
      <c r="S15" s="1183"/>
      <c r="T15" s="1202"/>
      <c r="U15" s="1204"/>
      <c r="V15" s="774"/>
      <c r="X15" s="1183"/>
      <c r="Y15" s="1197"/>
      <c r="Z15" s="727" t="s">
        <v>569</v>
      </c>
      <c r="AA15" s="786" t="s">
        <v>685</v>
      </c>
      <c r="AB15" s="786" t="s">
        <v>685</v>
      </c>
      <c r="AC15" s="5">
        <f t="shared" si="0"/>
        <v>0</v>
      </c>
      <c r="AD15" s="1193"/>
      <c r="AF15" s="1193"/>
    </row>
    <row r="16" spans="1:32" x14ac:dyDescent="0.25">
      <c r="A16" s="1183">
        <v>7</v>
      </c>
      <c r="B16" s="1196" t="s">
        <v>694</v>
      </c>
      <c r="C16" s="783" t="s">
        <v>568</v>
      </c>
      <c r="D16" s="786">
        <v>571</v>
      </c>
      <c r="E16" s="786">
        <v>47</v>
      </c>
      <c r="F16" s="28">
        <f t="shared" si="1"/>
        <v>618</v>
      </c>
      <c r="G16" s="1192">
        <f>SUM(F16:F17)</f>
        <v>1985</v>
      </c>
      <c r="H16" s="1200">
        <v>7</v>
      </c>
      <c r="I16" s="1201">
        <v>64472</v>
      </c>
      <c r="J16" s="1203" t="s">
        <v>689</v>
      </c>
      <c r="K16" s="774"/>
      <c r="L16" s="1199">
        <f>D16+D17</f>
        <v>1719</v>
      </c>
      <c r="M16" s="1183">
        <v>7</v>
      </c>
      <c r="N16" s="1201">
        <v>28798</v>
      </c>
      <c r="O16" s="1203" t="s">
        <v>683</v>
      </c>
      <c r="P16" s="775"/>
      <c r="Q16" s="774"/>
      <c r="R16" s="1199">
        <f>E16+E17</f>
        <v>266</v>
      </c>
      <c r="S16" s="1183">
        <v>7</v>
      </c>
      <c r="T16" s="1201">
        <v>34280</v>
      </c>
      <c r="U16" s="1203" t="s">
        <v>679</v>
      </c>
      <c r="V16" s="774"/>
      <c r="X16" s="1183">
        <v>7</v>
      </c>
      <c r="Y16" s="1196" t="s">
        <v>694</v>
      </c>
      <c r="Z16" s="783" t="s">
        <v>568</v>
      </c>
      <c r="AA16" s="786" t="s">
        <v>685</v>
      </c>
      <c r="AB16" s="786" t="s">
        <v>685</v>
      </c>
      <c r="AC16" s="5">
        <f t="shared" si="0"/>
        <v>0</v>
      </c>
      <c r="AD16" s="1192">
        <f>SUM(AC16:AC17)</f>
        <v>71</v>
      </c>
      <c r="AF16" s="1192">
        <v>12833</v>
      </c>
    </row>
    <row r="17" spans="1:32" ht="15.75" thickBot="1" x14ac:dyDescent="0.3">
      <c r="A17" s="1183"/>
      <c r="B17" s="1197"/>
      <c r="C17" s="727" t="s">
        <v>569</v>
      </c>
      <c r="D17" s="786">
        <v>1148</v>
      </c>
      <c r="E17" s="786">
        <v>219</v>
      </c>
      <c r="F17" s="28">
        <f t="shared" si="1"/>
        <v>1367</v>
      </c>
      <c r="G17" s="1193"/>
      <c r="H17" s="1200"/>
      <c r="I17" s="1202"/>
      <c r="J17" s="1204"/>
      <c r="K17" s="774"/>
      <c r="L17" s="1193"/>
      <c r="M17" s="1183"/>
      <c r="N17" s="1202"/>
      <c r="O17" s="1204"/>
      <c r="P17" s="775"/>
      <c r="Q17" s="774"/>
      <c r="R17" s="1193"/>
      <c r="S17" s="1183"/>
      <c r="T17" s="1202"/>
      <c r="U17" s="1204"/>
      <c r="V17" s="774"/>
      <c r="X17" s="1183"/>
      <c r="Y17" s="1197"/>
      <c r="Z17" s="727" t="s">
        <v>569</v>
      </c>
      <c r="AA17" s="786">
        <v>36</v>
      </c>
      <c r="AB17" s="786">
        <v>35</v>
      </c>
      <c r="AC17" s="5">
        <f t="shared" si="0"/>
        <v>71</v>
      </c>
      <c r="AD17" s="1193"/>
      <c r="AF17" s="1193"/>
    </row>
    <row r="18" spans="1:32" x14ac:dyDescent="0.25">
      <c r="A18" s="1177">
        <v>8</v>
      </c>
      <c r="B18" s="1206" t="s">
        <v>689</v>
      </c>
      <c r="C18" s="787" t="s">
        <v>568</v>
      </c>
      <c r="D18" s="779">
        <v>7598</v>
      </c>
      <c r="E18" s="779">
        <v>11</v>
      </c>
      <c r="F18" s="788">
        <f t="shared" si="1"/>
        <v>7609</v>
      </c>
      <c r="G18" s="1180">
        <f>SUM(F18:F19)</f>
        <v>64472</v>
      </c>
      <c r="H18" s="1200">
        <v>8</v>
      </c>
      <c r="I18" s="1201">
        <v>60469</v>
      </c>
      <c r="J18" s="1205" t="s">
        <v>676</v>
      </c>
      <c r="K18" s="774"/>
      <c r="L18" s="1207">
        <f>D18+D19</f>
        <v>39611</v>
      </c>
      <c r="M18" s="1183">
        <v>8</v>
      </c>
      <c r="N18" s="1201">
        <v>20733</v>
      </c>
      <c r="O18" s="1203" t="s">
        <v>690</v>
      </c>
      <c r="P18" s="775"/>
      <c r="Q18" s="774"/>
      <c r="R18" s="1198">
        <f>E18+E19</f>
        <v>24861</v>
      </c>
      <c r="S18" s="1183">
        <v>8</v>
      </c>
      <c r="T18" s="1201">
        <v>28253</v>
      </c>
      <c r="U18" s="1203" t="s">
        <v>688</v>
      </c>
      <c r="V18" s="774"/>
      <c r="X18" s="1183">
        <v>8</v>
      </c>
      <c r="Y18" s="1196" t="s">
        <v>689</v>
      </c>
      <c r="Z18" s="783" t="s">
        <v>568</v>
      </c>
      <c r="AA18" s="786">
        <v>564</v>
      </c>
      <c r="AB18" s="786" t="s">
        <v>685</v>
      </c>
      <c r="AC18" s="5">
        <f t="shared" si="0"/>
        <v>564</v>
      </c>
      <c r="AD18" s="1192">
        <f>SUM(AC18:AC19)</f>
        <v>18586.718000000001</v>
      </c>
      <c r="AF18" s="1192">
        <v>11414</v>
      </c>
    </row>
    <row r="19" spans="1:32" ht="15.75" thickBot="1" x14ac:dyDescent="0.3">
      <c r="A19" s="1177"/>
      <c r="B19" s="1179"/>
      <c r="C19" s="789" t="s">
        <v>569</v>
      </c>
      <c r="D19" s="779">
        <v>32013</v>
      </c>
      <c r="E19" s="779">
        <v>24850</v>
      </c>
      <c r="F19" s="788">
        <f t="shared" si="1"/>
        <v>56863</v>
      </c>
      <c r="G19" s="1181"/>
      <c r="H19" s="1200"/>
      <c r="I19" s="1202"/>
      <c r="J19" s="1204"/>
      <c r="K19" s="774"/>
      <c r="L19" s="1208"/>
      <c r="M19" s="1183"/>
      <c r="N19" s="1202"/>
      <c r="O19" s="1204"/>
      <c r="P19" s="775"/>
      <c r="Q19" s="774"/>
      <c r="R19" s="1181"/>
      <c r="S19" s="1183"/>
      <c r="T19" s="1202"/>
      <c r="U19" s="1204"/>
      <c r="V19" s="774"/>
      <c r="X19" s="1183"/>
      <c r="Y19" s="1197"/>
      <c r="Z19" s="727" t="s">
        <v>569</v>
      </c>
      <c r="AA19" s="786">
        <v>8532.7180000000008</v>
      </c>
      <c r="AB19" s="786">
        <v>9490</v>
      </c>
      <c r="AC19" s="5">
        <f t="shared" si="0"/>
        <v>18022.718000000001</v>
      </c>
      <c r="AD19" s="1193"/>
      <c r="AF19" s="1193"/>
    </row>
    <row r="20" spans="1:32" x14ac:dyDescent="0.25">
      <c r="A20" s="1183">
        <v>9</v>
      </c>
      <c r="B20" s="1196" t="s">
        <v>695</v>
      </c>
      <c r="C20" s="783" t="s">
        <v>568</v>
      </c>
      <c r="D20" s="786">
        <v>763</v>
      </c>
      <c r="E20" s="786">
        <v>0</v>
      </c>
      <c r="F20" s="28">
        <f t="shared" si="1"/>
        <v>763</v>
      </c>
      <c r="G20" s="1192">
        <f>SUM(F20:F21)</f>
        <v>763</v>
      </c>
      <c r="H20" s="1200">
        <v>9</v>
      </c>
      <c r="I20" s="1201">
        <v>59532</v>
      </c>
      <c r="J20" s="1203" t="s">
        <v>690</v>
      </c>
      <c r="K20" s="774"/>
      <c r="L20" s="1199">
        <f>D20+D21</f>
        <v>763</v>
      </c>
      <c r="M20" s="1183">
        <v>9</v>
      </c>
      <c r="N20" s="1201">
        <v>17654</v>
      </c>
      <c r="O20" s="1203" t="s">
        <v>679</v>
      </c>
      <c r="P20" s="775"/>
      <c r="Q20" s="774"/>
      <c r="R20" s="1199">
        <f>E20+E21</f>
        <v>0</v>
      </c>
      <c r="S20" s="1183">
        <v>9</v>
      </c>
      <c r="T20" s="1201">
        <v>27143</v>
      </c>
      <c r="U20" s="1205" t="s">
        <v>676</v>
      </c>
      <c r="V20" s="774"/>
      <c r="X20" s="1183">
        <v>9</v>
      </c>
      <c r="Y20" s="1196" t="s">
        <v>695</v>
      </c>
      <c r="Z20" s="783" t="s">
        <v>568</v>
      </c>
      <c r="AA20" s="786" t="s">
        <v>685</v>
      </c>
      <c r="AB20" s="786" t="s">
        <v>685</v>
      </c>
      <c r="AC20" s="5">
        <f t="shared" si="0"/>
        <v>0</v>
      </c>
      <c r="AD20" s="1192">
        <f>SUM(AC20:AC21)</f>
        <v>0</v>
      </c>
      <c r="AF20" s="1192">
        <v>6663</v>
      </c>
    </row>
    <row r="21" spans="1:32" x14ac:dyDescent="0.25">
      <c r="A21" s="1183"/>
      <c r="B21" s="1197"/>
      <c r="C21" s="727" t="s">
        <v>569</v>
      </c>
      <c r="D21" s="786">
        <v>0</v>
      </c>
      <c r="E21" s="786">
        <v>0</v>
      </c>
      <c r="F21" s="28">
        <f t="shared" si="1"/>
        <v>0</v>
      </c>
      <c r="G21" s="1193"/>
      <c r="H21" s="1200"/>
      <c r="I21" s="1202"/>
      <c r="J21" s="1204"/>
      <c r="K21" s="774"/>
      <c r="L21" s="1193"/>
      <c r="M21" s="1183"/>
      <c r="N21" s="1202"/>
      <c r="O21" s="1204"/>
      <c r="P21" s="775"/>
      <c r="Q21" s="774"/>
      <c r="R21" s="1193"/>
      <c r="S21" s="1183"/>
      <c r="T21" s="1202"/>
      <c r="U21" s="1204"/>
      <c r="V21" s="774"/>
      <c r="X21" s="1183"/>
      <c r="Y21" s="1197"/>
      <c r="Z21" s="727" t="s">
        <v>569</v>
      </c>
      <c r="AA21" s="786" t="s">
        <v>685</v>
      </c>
      <c r="AB21" s="786" t="s">
        <v>685</v>
      </c>
      <c r="AC21" s="5">
        <f t="shared" si="0"/>
        <v>0</v>
      </c>
      <c r="AD21" s="1193"/>
      <c r="AF21" s="1193"/>
    </row>
    <row r="22" spans="1:32" x14ac:dyDescent="0.25">
      <c r="A22" s="1183">
        <v>10</v>
      </c>
      <c r="B22" s="1196" t="s">
        <v>696</v>
      </c>
      <c r="C22" s="783" t="s">
        <v>568</v>
      </c>
      <c r="D22" s="786">
        <v>3868</v>
      </c>
      <c r="E22" s="786">
        <v>0</v>
      </c>
      <c r="F22" s="28">
        <f t="shared" si="1"/>
        <v>3868</v>
      </c>
      <c r="G22" s="1192">
        <f>SUM(F22:F23)</f>
        <v>11177</v>
      </c>
      <c r="H22" s="1200">
        <v>10</v>
      </c>
      <c r="I22" s="1201">
        <v>56097</v>
      </c>
      <c r="J22" s="1203" t="s">
        <v>693</v>
      </c>
      <c r="K22" s="774"/>
      <c r="L22" s="1199">
        <f>D22+D23</f>
        <v>10466</v>
      </c>
      <c r="M22" s="1183">
        <v>10</v>
      </c>
      <c r="N22" s="1201">
        <v>17641</v>
      </c>
      <c r="O22" s="1203" t="s">
        <v>693</v>
      </c>
      <c r="P22" s="775"/>
      <c r="Q22" s="774"/>
      <c r="R22" s="1199">
        <f>E22+E23</f>
        <v>711</v>
      </c>
      <c r="S22" s="1183">
        <v>10</v>
      </c>
      <c r="T22" s="1201">
        <v>24861</v>
      </c>
      <c r="U22" s="1203" t="s">
        <v>689</v>
      </c>
      <c r="V22" s="774"/>
      <c r="X22" s="1183">
        <v>10</v>
      </c>
      <c r="Y22" s="1196" t="s">
        <v>696</v>
      </c>
      <c r="Z22" s="783" t="s">
        <v>568</v>
      </c>
      <c r="AA22" s="786">
        <v>87</v>
      </c>
      <c r="AB22" s="786" t="s">
        <v>685</v>
      </c>
      <c r="AC22" s="5">
        <f t="shared" si="0"/>
        <v>87</v>
      </c>
      <c r="AD22" s="1192">
        <f>SUM(AC22:AC23)</f>
        <v>731</v>
      </c>
      <c r="AF22" s="1192">
        <v>5959</v>
      </c>
    </row>
    <row r="23" spans="1:32" x14ac:dyDescent="0.25">
      <c r="A23" s="1183"/>
      <c r="B23" s="1197"/>
      <c r="C23" s="727" t="s">
        <v>569</v>
      </c>
      <c r="D23" s="786">
        <v>6598</v>
      </c>
      <c r="E23" s="786">
        <v>711</v>
      </c>
      <c r="F23" s="28">
        <f t="shared" si="1"/>
        <v>7309</v>
      </c>
      <c r="G23" s="1193"/>
      <c r="H23" s="1200"/>
      <c r="I23" s="1202"/>
      <c r="J23" s="1204"/>
      <c r="K23" s="774"/>
      <c r="L23" s="1193"/>
      <c r="M23" s="1183"/>
      <c r="N23" s="1202"/>
      <c r="O23" s="1204"/>
      <c r="P23" s="775"/>
      <c r="Q23" s="774"/>
      <c r="R23" s="1193"/>
      <c r="S23" s="1183"/>
      <c r="T23" s="1202"/>
      <c r="U23" s="1204"/>
      <c r="V23" s="774"/>
      <c r="X23" s="1183"/>
      <c r="Y23" s="1197"/>
      <c r="Z23" s="727" t="s">
        <v>569</v>
      </c>
      <c r="AA23" s="786">
        <v>594</v>
      </c>
      <c r="AB23" s="786">
        <v>50</v>
      </c>
      <c r="AC23" s="5">
        <f t="shared" si="0"/>
        <v>644</v>
      </c>
      <c r="AD23" s="1193"/>
      <c r="AF23" s="1193"/>
    </row>
    <row r="24" spans="1:32" x14ac:dyDescent="0.25">
      <c r="A24" s="1183">
        <v>11</v>
      </c>
      <c r="B24" s="1196" t="s">
        <v>697</v>
      </c>
      <c r="C24" s="783" t="s">
        <v>568</v>
      </c>
      <c r="D24" s="786">
        <v>516</v>
      </c>
      <c r="E24" s="786">
        <v>0</v>
      </c>
      <c r="F24" s="28">
        <f t="shared" si="1"/>
        <v>516</v>
      </c>
      <c r="G24" s="1192">
        <f>SUM(F24:F25)</f>
        <v>4643</v>
      </c>
      <c r="I24" s="1209">
        <v>51934</v>
      </c>
      <c r="L24" s="1199">
        <f>D24+D25</f>
        <v>1479</v>
      </c>
      <c r="N24" s="1209">
        <v>10466</v>
      </c>
      <c r="O24" s="775"/>
      <c r="P24" s="775"/>
      <c r="R24" s="1199">
        <f>E24+E25</f>
        <v>3164</v>
      </c>
      <c r="T24" s="1209">
        <v>17984</v>
      </c>
      <c r="X24" s="1183">
        <v>11</v>
      </c>
      <c r="Y24" s="1196" t="s">
        <v>697</v>
      </c>
      <c r="Z24" s="783" t="s">
        <v>568</v>
      </c>
      <c r="AA24" s="786" t="s">
        <v>685</v>
      </c>
      <c r="AB24" s="786" t="s">
        <v>685</v>
      </c>
      <c r="AC24" s="5">
        <f t="shared" si="0"/>
        <v>0</v>
      </c>
      <c r="AD24" s="1192">
        <f>SUM(AC24:AC25)</f>
        <v>330</v>
      </c>
      <c r="AF24" s="1192">
        <v>4717</v>
      </c>
    </row>
    <row r="25" spans="1:32" x14ac:dyDescent="0.25">
      <c r="A25" s="1183"/>
      <c r="B25" s="1197"/>
      <c r="C25" s="727" t="s">
        <v>569</v>
      </c>
      <c r="D25" s="786">
        <v>963</v>
      </c>
      <c r="E25" s="786">
        <v>3164</v>
      </c>
      <c r="F25" s="28">
        <f t="shared" si="1"/>
        <v>4127</v>
      </c>
      <c r="G25" s="1193"/>
      <c r="I25" s="1210"/>
      <c r="L25" s="1193"/>
      <c r="N25" s="1210"/>
      <c r="O25" s="775"/>
      <c r="P25" s="775"/>
      <c r="R25" s="1193"/>
      <c r="T25" s="1210"/>
      <c r="X25" s="1183"/>
      <c r="Y25" s="1197"/>
      <c r="Z25" s="727" t="s">
        <v>569</v>
      </c>
      <c r="AA25" s="786">
        <v>210</v>
      </c>
      <c r="AB25" s="786">
        <v>120</v>
      </c>
      <c r="AC25" s="5">
        <f t="shared" si="0"/>
        <v>330</v>
      </c>
      <c r="AD25" s="1193"/>
      <c r="AF25" s="1193"/>
    </row>
    <row r="26" spans="1:32" x14ac:dyDescent="0.25">
      <c r="A26" s="1183">
        <v>12</v>
      </c>
      <c r="B26" s="1196" t="s">
        <v>698</v>
      </c>
      <c r="C26" s="783" t="s">
        <v>568</v>
      </c>
      <c r="D26" s="786">
        <v>0</v>
      </c>
      <c r="E26" s="786">
        <v>0</v>
      </c>
      <c r="F26" s="28">
        <f t="shared" si="1"/>
        <v>0</v>
      </c>
      <c r="G26" s="1192">
        <f>SUM(F26:F27)</f>
        <v>0</v>
      </c>
      <c r="I26" s="1209">
        <v>32037</v>
      </c>
      <c r="L26" s="1199">
        <f>D26+D27</f>
        <v>0</v>
      </c>
      <c r="N26" s="1209">
        <v>5017</v>
      </c>
      <c r="O26" s="775"/>
      <c r="P26" s="775"/>
      <c r="R26" s="1199">
        <f>E26+E27</f>
        <v>0</v>
      </c>
      <c r="T26" s="1209">
        <v>16124</v>
      </c>
      <c r="X26" s="1183">
        <v>12</v>
      </c>
      <c r="Y26" s="1196" t="s">
        <v>698</v>
      </c>
      <c r="Z26" s="783" t="s">
        <v>568</v>
      </c>
      <c r="AA26" s="786" t="s">
        <v>685</v>
      </c>
      <c r="AB26" s="786" t="s">
        <v>685</v>
      </c>
      <c r="AC26" s="5">
        <f t="shared" si="0"/>
        <v>0</v>
      </c>
      <c r="AD26" s="1192">
        <f>SUM(AC26:AC27)</f>
        <v>0</v>
      </c>
      <c r="AF26" s="1192">
        <v>3037</v>
      </c>
    </row>
    <row r="27" spans="1:32" x14ac:dyDescent="0.25">
      <c r="A27" s="1183"/>
      <c r="B27" s="1197"/>
      <c r="C27" s="727" t="s">
        <v>569</v>
      </c>
      <c r="D27" s="786">
        <v>0</v>
      </c>
      <c r="E27" s="786">
        <v>0</v>
      </c>
      <c r="F27" s="28">
        <f t="shared" si="1"/>
        <v>0</v>
      </c>
      <c r="G27" s="1193"/>
      <c r="I27" s="1210"/>
      <c r="L27" s="1193"/>
      <c r="N27" s="1210"/>
      <c r="O27" s="775"/>
      <c r="P27" s="775"/>
      <c r="R27" s="1193"/>
      <c r="T27" s="1210"/>
      <c r="X27" s="1183"/>
      <c r="Y27" s="1197"/>
      <c r="Z27" s="727" t="s">
        <v>569</v>
      </c>
      <c r="AA27" s="786" t="s">
        <v>685</v>
      </c>
      <c r="AB27" s="786" t="s">
        <v>685</v>
      </c>
      <c r="AC27" s="5">
        <f t="shared" si="0"/>
        <v>0</v>
      </c>
      <c r="AD27" s="1193"/>
      <c r="AF27" s="1193"/>
    </row>
    <row r="28" spans="1:32" x14ac:dyDescent="0.25">
      <c r="A28" s="1183">
        <v>13</v>
      </c>
      <c r="B28" s="1196" t="s">
        <v>699</v>
      </c>
      <c r="C28" s="783" t="s">
        <v>568</v>
      </c>
      <c r="D28" s="786">
        <v>0</v>
      </c>
      <c r="E28" s="786">
        <v>0</v>
      </c>
      <c r="F28" s="28">
        <f t="shared" si="1"/>
        <v>0</v>
      </c>
      <c r="G28" s="1192">
        <f>SUM(F28:F29)</f>
        <v>8</v>
      </c>
      <c r="I28" s="1209">
        <v>23001</v>
      </c>
      <c r="L28" s="1199">
        <f>D28+D29</f>
        <v>2</v>
      </c>
      <c r="N28" s="1209">
        <v>4294</v>
      </c>
      <c r="O28" s="775"/>
      <c r="P28" s="775"/>
      <c r="R28" s="1199">
        <f>E28+E29</f>
        <v>6</v>
      </c>
      <c r="T28" s="1209">
        <v>13995</v>
      </c>
      <c r="X28" s="1183">
        <v>13</v>
      </c>
      <c r="Y28" s="1196" t="s">
        <v>699</v>
      </c>
      <c r="Z28" s="783" t="s">
        <v>568</v>
      </c>
      <c r="AA28" s="786" t="s">
        <v>685</v>
      </c>
      <c r="AB28" s="786" t="s">
        <v>685</v>
      </c>
      <c r="AC28" s="5">
        <f t="shared" si="0"/>
        <v>0</v>
      </c>
      <c r="AD28" s="1192">
        <f>SUM(AC28:AC29)</f>
        <v>0</v>
      </c>
      <c r="AF28" s="1192">
        <v>2865</v>
      </c>
    </row>
    <row r="29" spans="1:32" x14ac:dyDescent="0.25">
      <c r="A29" s="1183"/>
      <c r="B29" s="1197"/>
      <c r="C29" s="727" t="s">
        <v>569</v>
      </c>
      <c r="D29" s="786">
        <v>2</v>
      </c>
      <c r="E29" s="786">
        <v>6</v>
      </c>
      <c r="F29" s="28">
        <f t="shared" si="1"/>
        <v>8</v>
      </c>
      <c r="G29" s="1193"/>
      <c r="I29" s="1210"/>
      <c r="L29" s="1193"/>
      <c r="N29" s="1210"/>
      <c r="O29" s="775"/>
      <c r="P29" s="775"/>
      <c r="R29" s="1193"/>
      <c r="T29" s="1210"/>
      <c r="X29" s="1183"/>
      <c r="Y29" s="1197"/>
      <c r="Z29" s="727" t="s">
        <v>569</v>
      </c>
      <c r="AA29" s="786" t="s">
        <v>685</v>
      </c>
      <c r="AB29" s="786" t="s">
        <v>685</v>
      </c>
      <c r="AC29" s="5">
        <f t="shared" si="0"/>
        <v>0</v>
      </c>
      <c r="AD29" s="1193"/>
      <c r="AF29" s="1193"/>
    </row>
    <row r="30" spans="1:32" x14ac:dyDescent="0.25">
      <c r="A30" s="1211">
        <v>14</v>
      </c>
      <c r="B30" s="1212" t="s">
        <v>677</v>
      </c>
      <c r="C30" s="790" t="s">
        <v>568</v>
      </c>
      <c r="D30" s="791">
        <v>25020</v>
      </c>
      <c r="E30" s="791">
        <v>3832</v>
      </c>
      <c r="F30" s="792">
        <f t="shared" si="1"/>
        <v>28852</v>
      </c>
      <c r="G30" s="1214">
        <f>F30+F31</f>
        <v>163371</v>
      </c>
      <c r="I30" s="1209">
        <v>17939</v>
      </c>
      <c r="L30" s="1207">
        <f>D30+D31</f>
        <v>93194</v>
      </c>
      <c r="N30" s="1209">
        <v>4129.3500000000004</v>
      </c>
      <c r="O30" s="775"/>
      <c r="P30" s="775"/>
      <c r="R30" s="1207">
        <f>E30+E31</f>
        <v>70177</v>
      </c>
      <c r="T30" s="1209">
        <v>7460</v>
      </c>
      <c r="X30" s="1183">
        <v>14</v>
      </c>
      <c r="Y30" s="1196" t="s">
        <v>677</v>
      </c>
      <c r="Z30" s="783" t="s">
        <v>568</v>
      </c>
      <c r="AA30" s="786">
        <v>1761</v>
      </c>
      <c r="AB30" s="786">
        <v>1191</v>
      </c>
      <c r="AC30" s="5">
        <f t="shared" si="0"/>
        <v>2952</v>
      </c>
      <c r="AD30" s="1192">
        <f>SUM(AC30:AC31)</f>
        <v>25999</v>
      </c>
      <c r="AF30" s="1192">
        <v>1523</v>
      </c>
    </row>
    <row r="31" spans="1:32" x14ac:dyDescent="0.25">
      <c r="A31" s="1211"/>
      <c r="B31" s="1213"/>
      <c r="C31" s="793" t="s">
        <v>569</v>
      </c>
      <c r="D31" s="791">
        <v>68174</v>
      </c>
      <c r="E31" s="791">
        <v>66345</v>
      </c>
      <c r="F31" s="792">
        <f t="shared" si="1"/>
        <v>134519</v>
      </c>
      <c r="G31" s="1208"/>
      <c r="I31" s="1210"/>
      <c r="L31" s="1208"/>
      <c r="N31" s="1210"/>
      <c r="O31" s="775"/>
      <c r="P31" s="775"/>
      <c r="R31" s="1208"/>
      <c r="T31" s="1210"/>
      <c r="X31" s="1183"/>
      <c r="Y31" s="1197"/>
      <c r="Z31" s="727" t="s">
        <v>569</v>
      </c>
      <c r="AA31" s="786">
        <v>9790</v>
      </c>
      <c r="AB31" s="786">
        <v>13257</v>
      </c>
      <c r="AC31" s="5">
        <f t="shared" si="0"/>
        <v>23047</v>
      </c>
      <c r="AD31" s="1193"/>
      <c r="AF31" s="1193"/>
    </row>
    <row r="32" spans="1:32" x14ac:dyDescent="0.25">
      <c r="A32" s="1177">
        <v>15</v>
      </c>
      <c r="B32" s="1206" t="s">
        <v>681</v>
      </c>
      <c r="C32" s="787" t="s">
        <v>568</v>
      </c>
      <c r="D32" s="779">
        <v>0</v>
      </c>
      <c r="E32" s="779">
        <v>0</v>
      </c>
      <c r="F32" s="788">
        <f t="shared" si="1"/>
        <v>0</v>
      </c>
      <c r="G32" s="1180">
        <f>SUM(F32:F33)</f>
        <v>67974.62</v>
      </c>
      <c r="I32" s="1209">
        <v>11177</v>
      </c>
      <c r="L32" s="1199">
        <f>D32+D33</f>
        <v>4129.3500000000004</v>
      </c>
      <c r="N32" s="1209">
        <v>3944</v>
      </c>
      <c r="O32" s="775"/>
      <c r="P32" s="775"/>
      <c r="R32" s="1207">
        <f>E32+E33</f>
        <v>63845.27</v>
      </c>
      <c r="T32" s="1209">
        <v>4913.8680000000004</v>
      </c>
      <c r="X32" s="1183">
        <v>15</v>
      </c>
      <c r="Y32" s="1196" t="s">
        <v>681</v>
      </c>
      <c r="Z32" s="783" t="s">
        <v>568</v>
      </c>
      <c r="AA32" s="786" t="s">
        <v>685</v>
      </c>
      <c r="AB32" s="786" t="s">
        <v>685</v>
      </c>
      <c r="AC32" s="5">
        <f t="shared" si="0"/>
        <v>0</v>
      </c>
      <c r="AD32" s="1192">
        <f>SUM(AC32:AC33)</f>
        <v>52534.59</v>
      </c>
      <c r="AF32" s="1192">
        <v>1034</v>
      </c>
    </row>
    <row r="33" spans="1:32" x14ac:dyDescent="0.25">
      <c r="A33" s="1177"/>
      <c r="B33" s="1179"/>
      <c r="C33" s="789" t="s">
        <v>569</v>
      </c>
      <c r="D33" s="779">
        <v>4129.3500000000004</v>
      </c>
      <c r="E33" s="779">
        <v>63845.27</v>
      </c>
      <c r="F33" s="788">
        <f t="shared" si="1"/>
        <v>67974.62</v>
      </c>
      <c r="G33" s="1181"/>
      <c r="I33" s="1210"/>
      <c r="L33" s="1193"/>
      <c r="N33" s="1210"/>
      <c r="O33" s="775"/>
      <c r="P33" s="775"/>
      <c r="R33" s="1208"/>
      <c r="T33" s="1210"/>
      <c r="X33" s="1183"/>
      <c r="Y33" s="1197"/>
      <c r="Z33" s="727" t="s">
        <v>569</v>
      </c>
      <c r="AA33" s="786">
        <v>2063.92</v>
      </c>
      <c r="AB33" s="786">
        <v>50470.67</v>
      </c>
      <c r="AC33" s="5">
        <f t="shared" si="0"/>
        <v>52534.59</v>
      </c>
      <c r="AD33" s="1193"/>
      <c r="AF33" s="1193"/>
    </row>
    <row r="34" spans="1:32" x14ac:dyDescent="0.25">
      <c r="A34" s="1183">
        <v>16</v>
      </c>
      <c r="B34" s="1196" t="s">
        <v>700</v>
      </c>
      <c r="C34" s="783" t="s">
        <v>568</v>
      </c>
      <c r="D34" s="786">
        <v>256</v>
      </c>
      <c r="E34" s="786">
        <v>0</v>
      </c>
      <c r="F34" s="28">
        <f t="shared" si="1"/>
        <v>256</v>
      </c>
      <c r="G34" s="1192">
        <f>SUM(F34:F35)</f>
        <v>4700</v>
      </c>
      <c r="I34" s="1209">
        <v>10890</v>
      </c>
      <c r="L34" s="1199">
        <f>D34+D35</f>
        <v>1369</v>
      </c>
      <c r="N34" s="1209">
        <v>3784</v>
      </c>
      <c r="O34" s="775"/>
      <c r="P34" s="775"/>
      <c r="R34" s="1199">
        <f>E34+E35</f>
        <v>3331</v>
      </c>
      <c r="T34" s="1209">
        <v>3331</v>
      </c>
      <c r="X34" s="1183">
        <v>16</v>
      </c>
      <c r="Y34" s="1196" t="s">
        <v>700</v>
      </c>
      <c r="Z34" s="783" t="s">
        <v>568</v>
      </c>
      <c r="AA34" s="786">
        <v>71</v>
      </c>
      <c r="AB34" s="786" t="s">
        <v>685</v>
      </c>
      <c r="AC34" s="5">
        <f t="shared" si="0"/>
        <v>71</v>
      </c>
      <c r="AD34" s="1192">
        <f>SUM(AC34:AC35)</f>
        <v>3037</v>
      </c>
      <c r="AF34" s="1192">
        <v>731</v>
      </c>
    </row>
    <row r="35" spans="1:32" x14ac:dyDescent="0.25">
      <c r="A35" s="1183"/>
      <c r="B35" s="1197"/>
      <c r="C35" s="727" t="s">
        <v>569</v>
      </c>
      <c r="D35" s="786">
        <v>1113</v>
      </c>
      <c r="E35" s="786">
        <v>3331</v>
      </c>
      <c r="F35" s="28">
        <f t="shared" si="1"/>
        <v>4444</v>
      </c>
      <c r="G35" s="1193"/>
      <c r="I35" s="1210"/>
      <c r="L35" s="1193"/>
      <c r="N35" s="1210"/>
      <c r="O35" s="775"/>
      <c r="P35" s="775"/>
      <c r="R35" s="1193"/>
      <c r="T35" s="1210"/>
      <c r="X35" s="1183"/>
      <c r="Y35" s="1197"/>
      <c r="Z35" s="727" t="s">
        <v>569</v>
      </c>
      <c r="AA35" s="786">
        <v>409</v>
      </c>
      <c r="AB35" s="786">
        <v>2557</v>
      </c>
      <c r="AC35" s="5">
        <f t="shared" si="0"/>
        <v>2966</v>
      </c>
      <c r="AD35" s="1193"/>
      <c r="AF35" s="1193"/>
    </row>
    <row r="36" spans="1:32" x14ac:dyDescent="0.25">
      <c r="A36" s="1211">
        <v>17</v>
      </c>
      <c r="B36" s="1212" t="s">
        <v>678</v>
      </c>
      <c r="C36" s="790" t="s">
        <v>568</v>
      </c>
      <c r="D36" s="791">
        <v>95120</v>
      </c>
      <c r="E36" s="791">
        <v>1547</v>
      </c>
      <c r="F36" s="792">
        <f t="shared" si="1"/>
        <v>96667</v>
      </c>
      <c r="G36" s="1214">
        <f>SUM(F36:F37)</f>
        <v>144862</v>
      </c>
      <c r="I36" s="1209">
        <v>4700</v>
      </c>
      <c r="L36" s="1207">
        <f>D36+D37</f>
        <v>128738</v>
      </c>
      <c r="N36" s="1209">
        <v>3430</v>
      </c>
      <c r="O36" s="775"/>
      <c r="P36" s="775"/>
      <c r="R36" s="1199">
        <f>E36+E37</f>
        <v>16124</v>
      </c>
      <c r="T36" s="1209">
        <v>3164</v>
      </c>
      <c r="X36" s="1183">
        <v>17</v>
      </c>
      <c r="Y36" s="1196" t="s">
        <v>678</v>
      </c>
      <c r="Z36" s="783" t="s">
        <v>568</v>
      </c>
      <c r="AA36" s="786">
        <v>10363</v>
      </c>
      <c r="AB36" s="786">
        <v>433</v>
      </c>
      <c r="AC36" s="5">
        <f t="shared" si="0"/>
        <v>10796</v>
      </c>
      <c r="AD36" s="1192">
        <f>SUM(AC36:AC37)</f>
        <v>16902</v>
      </c>
      <c r="AF36" s="1192">
        <v>729.48900000000003</v>
      </c>
    </row>
    <row r="37" spans="1:32" x14ac:dyDescent="0.25">
      <c r="A37" s="1211"/>
      <c r="B37" s="1213"/>
      <c r="C37" s="793" t="s">
        <v>569</v>
      </c>
      <c r="D37" s="791">
        <v>33618</v>
      </c>
      <c r="E37" s="791">
        <v>14577</v>
      </c>
      <c r="F37" s="792">
        <f t="shared" si="1"/>
        <v>48195</v>
      </c>
      <c r="G37" s="1208"/>
      <c r="I37" s="1210"/>
      <c r="L37" s="1208"/>
      <c r="N37" s="1210"/>
      <c r="O37" s="775"/>
      <c r="P37" s="775"/>
      <c r="R37" s="1193"/>
      <c r="T37" s="1210"/>
      <c r="X37" s="1183"/>
      <c r="Y37" s="1197"/>
      <c r="Z37" s="727" t="s">
        <v>569</v>
      </c>
      <c r="AA37" s="786">
        <v>4102</v>
      </c>
      <c r="AB37" s="786">
        <v>2004</v>
      </c>
      <c r="AC37" s="5">
        <f t="shared" si="0"/>
        <v>6106</v>
      </c>
      <c r="AD37" s="1193"/>
      <c r="AF37" s="1193"/>
    </row>
    <row r="38" spans="1:32" x14ac:dyDescent="0.25">
      <c r="A38" s="1183">
        <v>18</v>
      </c>
      <c r="B38" s="1196" t="s">
        <v>701</v>
      </c>
      <c r="C38" s="783" t="s">
        <v>568</v>
      </c>
      <c r="D38" s="786">
        <v>0</v>
      </c>
      <c r="E38" s="786">
        <v>0</v>
      </c>
      <c r="F38" s="28">
        <f t="shared" si="1"/>
        <v>0</v>
      </c>
      <c r="G38" s="1192">
        <f>SUM(F38:F39)</f>
        <v>0</v>
      </c>
      <c r="I38" s="1209">
        <v>4643</v>
      </c>
      <c r="L38" s="1199">
        <f>D38+D39</f>
        <v>0</v>
      </c>
      <c r="N38" s="1209">
        <v>3228.3</v>
      </c>
      <c r="O38" s="775"/>
      <c r="P38" s="775"/>
      <c r="R38" s="1199">
        <f>E38+E39</f>
        <v>0</v>
      </c>
      <c r="T38" s="1209">
        <v>1585</v>
      </c>
      <c r="X38" s="1183">
        <v>18</v>
      </c>
      <c r="Y38" s="1196" t="s">
        <v>701</v>
      </c>
      <c r="Z38" s="783" t="s">
        <v>568</v>
      </c>
      <c r="AA38" s="786" t="s">
        <v>685</v>
      </c>
      <c r="AB38" s="786" t="s">
        <v>685</v>
      </c>
      <c r="AC38" s="5">
        <f t="shared" si="0"/>
        <v>0</v>
      </c>
      <c r="AD38" s="1192">
        <f>SUM(AC38:AC39)</f>
        <v>0</v>
      </c>
      <c r="AF38" s="1192">
        <v>543</v>
      </c>
    </row>
    <row r="39" spans="1:32" x14ac:dyDescent="0.25">
      <c r="A39" s="1183"/>
      <c r="B39" s="1197"/>
      <c r="C39" s="727" t="s">
        <v>569</v>
      </c>
      <c r="D39" s="786">
        <v>0</v>
      </c>
      <c r="E39" s="786">
        <v>0</v>
      </c>
      <c r="F39" s="28">
        <f t="shared" si="1"/>
        <v>0</v>
      </c>
      <c r="G39" s="1193"/>
      <c r="I39" s="1210"/>
      <c r="L39" s="1193"/>
      <c r="N39" s="1210"/>
      <c r="O39" s="775"/>
      <c r="P39" s="775"/>
      <c r="R39" s="1193"/>
      <c r="T39" s="1210"/>
      <c r="X39" s="1183"/>
      <c r="Y39" s="1197"/>
      <c r="Z39" s="727" t="s">
        <v>569</v>
      </c>
      <c r="AA39" s="786" t="s">
        <v>685</v>
      </c>
      <c r="AB39" s="786" t="s">
        <v>685</v>
      </c>
      <c r="AC39" s="5">
        <f t="shared" si="0"/>
        <v>0</v>
      </c>
      <c r="AD39" s="1193"/>
      <c r="AF39" s="1193"/>
    </row>
    <row r="40" spans="1:32" x14ac:dyDescent="0.25">
      <c r="A40" s="1211">
        <v>19</v>
      </c>
      <c r="B40" s="1212" t="s">
        <v>687</v>
      </c>
      <c r="C40" s="790" t="s">
        <v>568</v>
      </c>
      <c r="D40" s="791">
        <v>88768.744999999995</v>
      </c>
      <c r="E40" s="791">
        <v>338.61700000000002</v>
      </c>
      <c r="F40" s="792">
        <f t="shared" si="1"/>
        <v>89107.361999999994</v>
      </c>
      <c r="G40" s="1214">
        <f>SUM(F40:F41)</f>
        <v>97579.049999999988</v>
      </c>
      <c r="I40" s="1209">
        <v>4374</v>
      </c>
      <c r="L40" s="1207">
        <f>D40+D41</f>
        <v>92665.182000000001</v>
      </c>
      <c r="N40" s="1209">
        <v>1719</v>
      </c>
      <c r="O40" s="775"/>
      <c r="P40" s="775"/>
      <c r="R40" s="1199">
        <f>E40+E41</f>
        <v>4913.8680000000004</v>
      </c>
      <c r="T40" s="1209">
        <v>711</v>
      </c>
      <c r="X40" s="1183">
        <v>19</v>
      </c>
      <c r="Y40" s="1196" t="s">
        <v>687</v>
      </c>
      <c r="Z40" s="783" t="s">
        <v>568</v>
      </c>
      <c r="AA40" s="786" t="s">
        <v>685</v>
      </c>
      <c r="AB40" s="786" t="s">
        <v>685</v>
      </c>
      <c r="AC40" s="5">
        <f t="shared" si="0"/>
        <v>0</v>
      </c>
      <c r="AD40" s="1192">
        <f>SUM(AC40:AC41)</f>
        <v>729.48900000000003</v>
      </c>
      <c r="AF40" s="1192">
        <v>471</v>
      </c>
    </row>
    <row r="41" spans="1:32" x14ac:dyDescent="0.25">
      <c r="A41" s="1211"/>
      <c r="B41" s="1213"/>
      <c r="C41" s="793" t="s">
        <v>569</v>
      </c>
      <c r="D41" s="791">
        <v>3896.4369999999999</v>
      </c>
      <c r="E41" s="791">
        <v>4575.2510000000002</v>
      </c>
      <c r="F41" s="792">
        <f t="shared" si="1"/>
        <v>8471.6880000000001</v>
      </c>
      <c r="G41" s="1208"/>
      <c r="I41" s="1210"/>
      <c r="L41" s="1208"/>
      <c r="N41" s="1210"/>
      <c r="O41" s="775"/>
      <c r="P41" s="775"/>
      <c r="R41" s="1193"/>
      <c r="T41" s="1210"/>
      <c r="X41" s="1183"/>
      <c r="Y41" s="1197"/>
      <c r="Z41" s="727" t="s">
        <v>569</v>
      </c>
      <c r="AA41" s="786">
        <v>234.489</v>
      </c>
      <c r="AB41" s="786">
        <v>495</v>
      </c>
      <c r="AC41" s="5">
        <f t="shared" si="0"/>
        <v>729.48900000000003</v>
      </c>
      <c r="AD41" s="1193"/>
      <c r="AF41" s="1193"/>
    </row>
    <row r="42" spans="1:32" x14ac:dyDescent="0.25">
      <c r="A42" s="1177">
        <v>20</v>
      </c>
      <c r="B42" s="1206" t="s">
        <v>693</v>
      </c>
      <c r="C42" s="787" t="s">
        <v>568</v>
      </c>
      <c r="D42" s="779">
        <v>3184</v>
      </c>
      <c r="E42" s="779">
        <v>152</v>
      </c>
      <c r="F42" s="788">
        <f t="shared" si="1"/>
        <v>3336</v>
      </c>
      <c r="G42" s="1180">
        <f>SUM(F42:F43)</f>
        <v>56097</v>
      </c>
      <c r="I42" s="1209">
        <v>3389.8</v>
      </c>
      <c r="L42" s="1198">
        <f>D42+D43</f>
        <v>17641</v>
      </c>
      <c r="N42" s="1209">
        <v>1479</v>
      </c>
      <c r="O42" s="775"/>
      <c r="P42" s="775"/>
      <c r="R42" s="1198">
        <f>E42+E43</f>
        <v>38456</v>
      </c>
      <c r="T42" s="1209">
        <v>266</v>
      </c>
      <c r="X42" s="1183">
        <v>20</v>
      </c>
      <c r="Y42" s="1196" t="s">
        <v>693</v>
      </c>
      <c r="Z42" s="783" t="s">
        <v>568</v>
      </c>
      <c r="AA42" s="786">
        <v>464</v>
      </c>
      <c r="AB42" s="786">
        <v>13</v>
      </c>
      <c r="AC42" s="5">
        <f t="shared" si="0"/>
        <v>477</v>
      </c>
      <c r="AD42" s="1192">
        <f>SUM(AC42:AC43)</f>
        <v>2865</v>
      </c>
      <c r="AF42" s="1192">
        <v>367.3</v>
      </c>
    </row>
    <row r="43" spans="1:32" x14ac:dyDescent="0.25">
      <c r="A43" s="1177"/>
      <c r="B43" s="1179"/>
      <c r="C43" s="789" t="s">
        <v>569</v>
      </c>
      <c r="D43" s="779">
        <v>14457</v>
      </c>
      <c r="E43" s="779">
        <v>38304</v>
      </c>
      <c r="F43" s="788">
        <f t="shared" si="1"/>
        <v>52761</v>
      </c>
      <c r="G43" s="1181"/>
      <c r="I43" s="1210"/>
      <c r="L43" s="1181"/>
      <c r="N43" s="1210"/>
      <c r="O43" s="775"/>
      <c r="P43" s="775"/>
      <c r="R43" s="1181"/>
      <c r="T43" s="1210"/>
      <c r="X43" s="1183"/>
      <c r="Y43" s="1197"/>
      <c r="Z43" s="727" t="s">
        <v>569</v>
      </c>
      <c r="AA43" s="786">
        <v>1289</v>
      </c>
      <c r="AB43" s="786">
        <v>1099</v>
      </c>
      <c r="AC43" s="5">
        <f t="shared" si="0"/>
        <v>2388</v>
      </c>
      <c r="AD43" s="1193"/>
      <c r="AF43" s="1193"/>
    </row>
    <row r="44" spans="1:32" x14ac:dyDescent="0.25">
      <c r="A44" s="1183">
        <v>21</v>
      </c>
      <c r="B44" s="1196" t="s">
        <v>702</v>
      </c>
      <c r="C44" s="783" t="s">
        <v>568</v>
      </c>
      <c r="D44" s="786">
        <v>259</v>
      </c>
      <c r="E44" s="786">
        <v>0</v>
      </c>
      <c r="F44" s="28">
        <f t="shared" si="1"/>
        <v>259</v>
      </c>
      <c r="G44" s="1192">
        <f>SUM(F44:F45)</f>
        <v>1844</v>
      </c>
      <c r="I44" s="1209">
        <v>1985</v>
      </c>
      <c r="L44" s="1199">
        <f>D44+D45</f>
        <v>259</v>
      </c>
      <c r="N44" s="1209">
        <v>1369</v>
      </c>
      <c r="O44" s="775"/>
      <c r="P44" s="775"/>
      <c r="R44" s="1199">
        <f>E44+E45</f>
        <v>1585</v>
      </c>
      <c r="T44" s="1209">
        <v>161.5</v>
      </c>
      <c r="X44" s="1183">
        <v>21</v>
      </c>
      <c r="Y44" s="1196" t="s">
        <v>702</v>
      </c>
      <c r="Z44" s="783" t="s">
        <v>568</v>
      </c>
      <c r="AA44" s="786">
        <v>55</v>
      </c>
      <c r="AB44" s="786" t="s">
        <v>685</v>
      </c>
      <c r="AC44" s="5">
        <f t="shared" si="0"/>
        <v>55</v>
      </c>
      <c r="AD44" s="1192">
        <f>SUM(AC44:AC45)</f>
        <v>55</v>
      </c>
      <c r="AF44" s="1192">
        <v>330</v>
      </c>
    </row>
    <row r="45" spans="1:32" x14ac:dyDescent="0.25">
      <c r="A45" s="1183"/>
      <c r="B45" s="1197"/>
      <c r="C45" s="727" t="s">
        <v>569</v>
      </c>
      <c r="D45" s="786">
        <v>0</v>
      </c>
      <c r="E45" s="786">
        <v>1585</v>
      </c>
      <c r="F45" s="28">
        <f t="shared" si="1"/>
        <v>1585</v>
      </c>
      <c r="G45" s="1193"/>
      <c r="I45" s="1210"/>
      <c r="L45" s="1193"/>
      <c r="N45" s="1210"/>
      <c r="O45" s="775"/>
      <c r="P45" s="775"/>
      <c r="R45" s="1193"/>
      <c r="T45" s="1210"/>
      <c r="X45" s="1183"/>
      <c r="Y45" s="1197"/>
      <c r="Z45" s="727" t="s">
        <v>569</v>
      </c>
      <c r="AA45" s="786" t="s">
        <v>685</v>
      </c>
      <c r="AB45" s="786" t="s">
        <v>685</v>
      </c>
      <c r="AC45" s="5">
        <f t="shared" si="0"/>
        <v>0</v>
      </c>
      <c r="AD45" s="1193"/>
      <c r="AF45" s="1193"/>
    </row>
    <row r="46" spans="1:32" x14ac:dyDescent="0.25">
      <c r="A46" s="1183">
        <v>22</v>
      </c>
      <c r="B46" s="1196" t="s">
        <v>703</v>
      </c>
      <c r="C46" s="783" t="s">
        <v>568</v>
      </c>
      <c r="D46" s="786">
        <v>1302</v>
      </c>
      <c r="E46" s="786">
        <v>51</v>
      </c>
      <c r="F46" s="28">
        <f t="shared" si="1"/>
        <v>1353</v>
      </c>
      <c r="G46" s="1192">
        <f>SUM(F46:F47)</f>
        <v>10890</v>
      </c>
      <c r="I46" s="1209">
        <v>1844</v>
      </c>
      <c r="L46" s="1199">
        <f>D46+D47</f>
        <v>3430</v>
      </c>
      <c r="N46" s="1209">
        <v>1022</v>
      </c>
      <c r="O46" s="775"/>
      <c r="P46" s="775"/>
      <c r="R46" s="1199">
        <f>E46+E47</f>
        <v>7460</v>
      </c>
      <c r="T46" s="1209">
        <v>98</v>
      </c>
      <c r="X46" s="1183">
        <v>22</v>
      </c>
      <c r="Y46" s="1196" t="s">
        <v>703</v>
      </c>
      <c r="Z46" s="783" t="s">
        <v>568</v>
      </c>
      <c r="AA46" s="786">
        <v>92</v>
      </c>
      <c r="AB46" s="786" t="s">
        <v>685</v>
      </c>
      <c r="AC46" s="5">
        <f t="shared" si="0"/>
        <v>92</v>
      </c>
      <c r="AD46" s="1192">
        <f>SUM(AC46:AC47)</f>
        <v>1034</v>
      </c>
      <c r="AE46" s="1"/>
      <c r="AF46" s="1192">
        <v>71</v>
      </c>
    </row>
    <row r="47" spans="1:32" x14ac:dyDescent="0.25">
      <c r="A47" s="1183"/>
      <c r="B47" s="1197"/>
      <c r="C47" s="727" t="s">
        <v>569</v>
      </c>
      <c r="D47" s="786">
        <v>2128</v>
      </c>
      <c r="E47" s="786">
        <v>7409</v>
      </c>
      <c r="F47" s="28">
        <f t="shared" si="1"/>
        <v>9537</v>
      </c>
      <c r="G47" s="1193"/>
      <c r="I47" s="1210"/>
      <c r="L47" s="1193"/>
      <c r="N47" s="1210"/>
      <c r="O47" s="775"/>
      <c r="P47" s="775"/>
      <c r="R47" s="1193"/>
      <c r="T47" s="1210"/>
      <c r="X47" s="1183"/>
      <c r="Y47" s="1197"/>
      <c r="Z47" s="727" t="s">
        <v>569</v>
      </c>
      <c r="AA47" s="786">
        <v>459</v>
      </c>
      <c r="AB47" s="786">
        <v>483</v>
      </c>
      <c r="AC47" s="5">
        <f t="shared" si="0"/>
        <v>942</v>
      </c>
      <c r="AD47" s="1193"/>
      <c r="AF47" s="1193"/>
    </row>
    <row r="48" spans="1:32" x14ac:dyDescent="0.25">
      <c r="A48" s="1211">
        <v>23</v>
      </c>
      <c r="B48" s="1212" t="s">
        <v>680</v>
      </c>
      <c r="C48" s="790" t="s">
        <v>568</v>
      </c>
      <c r="D48" s="791">
        <v>62944</v>
      </c>
      <c r="E48" s="791">
        <v>950</v>
      </c>
      <c r="F48" s="792">
        <f t="shared" si="1"/>
        <v>63894</v>
      </c>
      <c r="G48" s="1214">
        <f>SUM(F48:F49)</f>
        <v>150892</v>
      </c>
      <c r="I48" s="1209">
        <v>1120</v>
      </c>
      <c r="L48" s="1207">
        <f>D48+D49</f>
        <v>104572</v>
      </c>
      <c r="N48" s="1209">
        <v>763</v>
      </c>
      <c r="O48" s="775"/>
      <c r="P48" s="775"/>
      <c r="R48" s="1207">
        <f>E48+E49</f>
        <v>46320</v>
      </c>
      <c r="T48" s="1209">
        <v>80</v>
      </c>
      <c r="X48" s="1183">
        <v>23</v>
      </c>
      <c r="Y48" s="1196" t="s">
        <v>680</v>
      </c>
      <c r="Z48" s="783" t="s">
        <v>568</v>
      </c>
      <c r="AA48" s="786">
        <v>2029</v>
      </c>
      <c r="AB48" s="786">
        <v>100</v>
      </c>
      <c r="AC48" s="5">
        <f t="shared" si="0"/>
        <v>2129</v>
      </c>
      <c r="AD48" s="1192">
        <f>SUM(AC48:AC49)</f>
        <v>16662</v>
      </c>
      <c r="AF48" s="1192">
        <v>55</v>
      </c>
    </row>
    <row r="49" spans="1:32" x14ac:dyDescent="0.25">
      <c r="A49" s="1211"/>
      <c r="B49" s="1213"/>
      <c r="C49" s="793" t="s">
        <v>569</v>
      </c>
      <c r="D49" s="791">
        <v>41628</v>
      </c>
      <c r="E49" s="791">
        <v>45370</v>
      </c>
      <c r="F49" s="792">
        <f t="shared" si="1"/>
        <v>86998</v>
      </c>
      <c r="G49" s="1208"/>
      <c r="I49" s="1210"/>
      <c r="L49" s="1208"/>
      <c r="N49" s="1210"/>
      <c r="O49" s="775"/>
      <c r="P49" s="775"/>
      <c r="R49" s="1208"/>
      <c r="T49" s="1210"/>
      <c r="X49" s="1183"/>
      <c r="Y49" s="1197"/>
      <c r="Z49" s="727" t="s">
        <v>569</v>
      </c>
      <c r="AA49" s="786">
        <v>6557</v>
      </c>
      <c r="AB49" s="786">
        <v>7976</v>
      </c>
      <c r="AC49" s="5">
        <f t="shared" si="0"/>
        <v>14533</v>
      </c>
      <c r="AD49" s="1193"/>
      <c r="AF49" s="1193"/>
    </row>
    <row r="50" spans="1:32" x14ac:dyDescent="0.25">
      <c r="A50" s="1183">
        <v>24</v>
      </c>
      <c r="B50" s="1196" t="s">
        <v>704</v>
      </c>
      <c r="C50" s="783" t="s">
        <v>568</v>
      </c>
      <c r="D50" s="786">
        <v>3464</v>
      </c>
      <c r="E50" s="786">
        <v>0</v>
      </c>
      <c r="F50" s="28">
        <f t="shared" si="1"/>
        <v>3464</v>
      </c>
      <c r="G50" s="1192">
        <f>SUM(F50:F51)</f>
        <v>4374</v>
      </c>
      <c r="I50" s="1209">
        <v>763</v>
      </c>
      <c r="L50" s="1199">
        <f>D50+D51</f>
        <v>4294</v>
      </c>
      <c r="N50" s="1209">
        <v>264</v>
      </c>
      <c r="O50" s="775"/>
      <c r="P50" s="775"/>
      <c r="R50" s="1199">
        <f>E50+E51</f>
        <v>80</v>
      </c>
      <c r="T50" s="1209">
        <v>10</v>
      </c>
      <c r="X50" s="1183">
        <v>24</v>
      </c>
      <c r="Y50" s="1196" t="s">
        <v>704</v>
      </c>
      <c r="Z50" s="783" t="s">
        <v>568</v>
      </c>
      <c r="AA50" s="786">
        <v>320</v>
      </c>
      <c r="AB50" s="786" t="s">
        <v>685</v>
      </c>
      <c r="AC50" s="5">
        <f t="shared" si="0"/>
        <v>320</v>
      </c>
      <c r="AD50" s="1192">
        <f>SUM(AC50:AC51)</f>
        <v>471</v>
      </c>
      <c r="AF50" s="1192">
        <v>0</v>
      </c>
    </row>
    <row r="51" spans="1:32" x14ac:dyDescent="0.25">
      <c r="A51" s="1183"/>
      <c r="B51" s="1197"/>
      <c r="C51" s="727" t="s">
        <v>569</v>
      </c>
      <c r="D51" s="786">
        <v>830</v>
      </c>
      <c r="E51" s="786">
        <v>80</v>
      </c>
      <c r="F51" s="28">
        <f t="shared" si="1"/>
        <v>910</v>
      </c>
      <c r="G51" s="1193"/>
      <c r="I51" s="1210"/>
      <c r="L51" s="1193"/>
      <c r="N51" s="1210"/>
      <c r="O51" s="775"/>
      <c r="P51" s="775"/>
      <c r="R51" s="1193"/>
      <c r="T51" s="1210"/>
      <c r="X51" s="1183"/>
      <c r="Y51" s="1197"/>
      <c r="Z51" s="727" t="s">
        <v>569</v>
      </c>
      <c r="AA51" s="786">
        <v>116</v>
      </c>
      <c r="AB51" s="786">
        <v>35</v>
      </c>
      <c r="AC51" s="5">
        <f t="shared" si="0"/>
        <v>151</v>
      </c>
      <c r="AD51" s="1193"/>
      <c r="AF51" s="1193"/>
    </row>
    <row r="52" spans="1:32" x14ac:dyDescent="0.25">
      <c r="A52" s="1183">
        <v>25</v>
      </c>
      <c r="B52" s="1196" t="s">
        <v>705</v>
      </c>
      <c r="C52" s="783" t="s">
        <v>568</v>
      </c>
      <c r="D52" s="786">
        <v>0</v>
      </c>
      <c r="E52" s="786">
        <v>0</v>
      </c>
      <c r="F52" s="28">
        <f t="shared" si="1"/>
        <v>0</v>
      </c>
      <c r="G52" s="1192">
        <f>SUM(F52:F53)</f>
        <v>0</v>
      </c>
      <c r="I52" s="1209">
        <v>264</v>
      </c>
      <c r="L52" s="1199">
        <f>D52+D53</f>
        <v>0</v>
      </c>
      <c r="N52" s="1209">
        <v>259</v>
      </c>
      <c r="O52" s="775"/>
      <c r="P52" s="775"/>
      <c r="R52" s="1199">
        <f>E52+E53</f>
        <v>0</v>
      </c>
      <c r="T52" s="1209">
        <v>6</v>
      </c>
      <c r="X52" s="1183">
        <v>25</v>
      </c>
      <c r="Y52" s="1196" t="s">
        <v>705</v>
      </c>
      <c r="Z52" s="783" t="s">
        <v>568</v>
      </c>
      <c r="AA52" s="786" t="s">
        <v>685</v>
      </c>
      <c r="AB52" s="786" t="s">
        <v>685</v>
      </c>
      <c r="AC52" s="5">
        <f t="shared" si="0"/>
        <v>0</v>
      </c>
      <c r="AD52" s="1192">
        <f>SUM(AC52:AC53)</f>
        <v>0</v>
      </c>
      <c r="AF52" s="1192">
        <v>0</v>
      </c>
    </row>
    <row r="53" spans="1:32" x14ac:dyDescent="0.25">
      <c r="A53" s="1183"/>
      <c r="B53" s="1197"/>
      <c r="C53" s="727" t="s">
        <v>569</v>
      </c>
      <c r="D53" s="786">
        <v>0</v>
      </c>
      <c r="E53" s="786">
        <v>0</v>
      </c>
      <c r="F53" s="28">
        <f t="shared" si="1"/>
        <v>0</v>
      </c>
      <c r="G53" s="1193"/>
      <c r="I53" s="1210"/>
      <c r="L53" s="1193"/>
      <c r="N53" s="1210"/>
      <c r="O53" s="775"/>
      <c r="P53" s="775"/>
      <c r="R53" s="1193"/>
      <c r="T53" s="1210"/>
      <c r="X53" s="1183"/>
      <c r="Y53" s="1197"/>
      <c r="Z53" s="727" t="s">
        <v>569</v>
      </c>
      <c r="AA53" s="786" t="s">
        <v>685</v>
      </c>
      <c r="AB53" s="786" t="s">
        <v>685</v>
      </c>
      <c r="AC53" s="5">
        <f t="shared" si="0"/>
        <v>0</v>
      </c>
      <c r="AD53" s="1193"/>
      <c r="AF53" s="1193"/>
    </row>
    <row r="54" spans="1:32" x14ac:dyDescent="0.25">
      <c r="A54" s="1177">
        <v>26</v>
      </c>
      <c r="B54" s="1206" t="s">
        <v>690</v>
      </c>
      <c r="C54" s="787" t="s">
        <v>568</v>
      </c>
      <c r="D54" s="779">
        <v>7002</v>
      </c>
      <c r="E54" s="779">
        <v>147</v>
      </c>
      <c r="F54" s="788">
        <f t="shared" si="1"/>
        <v>7149</v>
      </c>
      <c r="G54" s="1180">
        <f>SUM(F54:F55)</f>
        <v>59532</v>
      </c>
      <c r="I54" s="1209">
        <v>97</v>
      </c>
      <c r="L54" s="1198">
        <f>D54+D55</f>
        <v>20733</v>
      </c>
      <c r="N54" s="1209">
        <v>87</v>
      </c>
      <c r="O54" s="775"/>
      <c r="P54" s="775"/>
      <c r="R54" s="1207">
        <f>E54+E55</f>
        <v>38799</v>
      </c>
      <c r="T54" s="1209">
        <v>0</v>
      </c>
      <c r="X54" s="1183">
        <v>26</v>
      </c>
      <c r="Y54" s="1196" t="s">
        <v>690</v>
      </c>
      <c r="Z54" s="783" t="s">
        <v>568</v>
      </c>
      <c r="AA54" s="786">
        <v>137</v>
      </c>
      <c r="AB54" s="786">
        <v>71</v>
      </c>
      <c r="AC54" s="5">
        <f t="shared" si="0"/>
        <v>208</v>
      </c>
      <c r="AD54" s="1192">
        <f>SUM(AC54:AC55)</f>
        <v>12833</v>
      </c>
      <c r="AF54" s="1192">
        <v>0</v>
      </c>
    </row>
    <row r="55" spans="1:32" x14ac:dyDescent="0.25">
      <c r="A55" s="1177"/>
      <c r="B55" s="1179"/>
      <c r="C55" s="789" t="s">
        <v>569</v>
      </c>
      <c r="D55" s="779">
        <v>13731</v>
      </c>
      <c r="E55" s="779">
        <v>38652</v>
      </c>
      <c r="F55" s="788">
        <f t="shared" si="1"/>
        <v>52383</v>
      </c>
      <c r="G55" s="1181"/>
      <c r="I55" s="1210"/>
      <c r="L55" s="1181"/>
      <c r="N55" s="1210"/>
      <c r="O55" s="775"/>
      <c r="P55" s="775"/>
      <c r="R55" s="1208"/>
      <c r="T55" s="1210"/>
      <c r="X55" s="1183"/>
      <c r="Y55" s="1197"/>
      <c r="Z55" s="727" t="s">
        <v>569</v>
      </c>
      <c r="AA55" s="786">
        <v>4453</v>
      </c>
      <c r="AB55" s="786">
        <v>8172</v>
      </c>
      <c r="AC55" s="5">
        <f t="shared" si="0"/>
        <v>12625</v>
      </c>
      <c r="AD55" s="1193"/>
      <c r="AF55" s="1193"/>
    </row>
    <row r="56" spans="1:32" x14ac:dyDescent="0.25">
      <c r="A56" s="1183">
        <v>27</v>
      </c>
      <c r="B56" s="1196" t="s">
        <v>706</v>
      </c>
      <c r="C56" s="783" t="s">
        <v>568</v>
      </c>
      <c r="D56" s="786">
        <v>11.4</v>
      </c>
      <c r="E56" s="786">
        <v>0</v>
      </c>
      <c r="F56" s="28">
        <f t="shared" si="1"/>
        <v>11.4</v>
      </c>
      <c r="G56" s="1192">
        <f>SUM(F56:F57)</f>
        <v>3389.8</v>
      </c>
      <c r="I56" s="1209">
        <v>8</v>
      </c>
      <c r="L56" s="1199">
        <f>D56+D57</f>
        <v>3228.3</v>
      </c>
      <c r="N56" s="1209">
        <v>2</v>
      </c>
      <c r="O56" s="775"/>
      <c r="P56" s="775"/>
      <c r="R56" s="1199">
        <f>E56+E57</f>
        <v>161.5</v>
      </c>
      <c r="T56" s="1209">
        <v>0</v>
      </c>
      <c r="X56" s="1183">
        <v>27</v>
      </c>
      <c r="Y56" s="1196" t="s">
        <v>706</v>
      </c>
      <c r="Z56" s="783" t="s">
        <v>568</v>
      </c>
      <c r="AA56" s="786" t="s">
        <v>685</v>
      </c>
      <c r="AB56" s="786" t="s">
        <v>685</v>
      </c>
      <c r="AC56" s="5">
        <f t="shared" si="0"/>
        <v>0</v>
      </c>
      <c r="AD56" s="1192">
        <f>SUM(AC56:AC57)</f>
        <v>367.3</v>
      </c>
      <c r="AF56" s="1192">
        <v>0</v>
      </c>
    </row>
    <row r="57" spans="1:32" x14ac:dyDescent="0.25">
      <c r="A57" s="1183"/>
      <c r="B57" s="1197"/>
      <c r="C57" s="727" t="s">
        <v>569</v>
      </c>
      <c r="D57" s="786">
        <v>3216.9</v>
      </c>
      <c r="E57" s="786">
        <v>161.5</v>
      </c>
      <c r="F57" s="28">
        <f t="shared" si="1"/>
        <v>3378.4</v>
      </c>
      <c r="G57" s="1193"/>
      <c r="I57" s="1210"/>
      <c r="L57" s="1193"/>
      <c r="N57" s="1210"/>
      <c r="O57" s="775"/>
      <c r="P57" s="775"/>
      <c r="R57" s="1193"/>
      <c r="T57" s="1210"/>
      <c r="X57" s="1183"/>
      <c r="Y57" s="1197"/>
      <c r="Z57" s="727" t="s">
        <v>569</v>
      </c>
      <c r="AA57" s="786">
        <v>350</v>
      </c>
      <c r="AB57" s="786">
        <v>17.3</v>
      </c>
      <c r="AC57" s="5">
        <f t="shared" si="0"/>
        <v>367.3</v>
      </c>
      <c r="AD57" s="1193"/>
      <c r="AF57" s="1193"/>
    </row>
    <row r="58" spans="1:32" x14ac:dyDescent="0.25">
      <c r="A58" s="1183">
        <v>28</v>
      </c>
      <c r="B58" s="1196" t="s">
        <v>707</v>
      </c>
      <c r="C58" s="783" t="s">
        <v>568</v>
      </c>
      <c r="D58" s="786">
        <v>855</v>
      </c>
      <c r="E58" s="786">
        <v>782</v>
      </c>
      <c r="F58" s="28">
        <f t="shared" si="1"/>
        <v>1637</v>
      </c>
      <c r="G58" s="1192">
        <f>SUM(F58:F59)</f>
        <v>17939</v>
      </c>
      <c r="I58" s="1209">
        <v>0</v>
      </c>
      <c r="L58" s="1199">
        <f>D58+D59</f>
        <v>3944</v>
      </c>
      <c r="N58" s="1209">
        <v>0</v>
      </c>
      <c r="O58" s="775"/>
      <c r="P58" s="775"/>
      <c r="R58" s="1199">
        <f>E58+E59</f>
        <v>13995</v>
      </c>
      <c r="T58" s="1209">
        <v>0</v>
      </c>
      <c r="X58" s="1183">
        <v>28</v>
      </c>
      <c r="Y58" s="1196" t="s">
        <v>707</v>
      </c>
      <c r="Z58" s="783" t="s">
        <v>568</v>
      </c>
      <c r="AA58" s="786">
        <v>43</v>
      </c>
      <c r="AB58" s="786" t="s">
        <v>685</v>
      </c>
      <c r="AC58" s="5">
        <f t="shared" si="0"/>
        <v>43</v>
      </c>
      <c r="AD58" s="1192">
        <f>SUM(AC58:AC59)</f>
        <v>1523</v>
      </c>
      <c r="AF58" s="1192">
        <v>0</v>
      </c>
    </row>
    <row r="59" spans="1:32" x14ac:dyDescent="0.25">
      <c r="A59" s="1183"/>
      <c r="B59" s="1197"/>
      <c r="C59" s="727" t="s">
        <v>569</v>
      </c>
      <c r="D59" s="786">
        <v>3089</v>
      </c>
      <c r="E59" s="786">
        <v>13213</v>
      </c>
      <c r="F59" s="28">
        <f t="shared" si="1"/>
        <v>16302</v>
      </c>
      <c r="G59" s="1193"/>
      <c r="I59" s="1210"/>
      <c r="L59" s="1193"/>
      <c r="N59" s="1210"/>
      <c r="O59" s="775"/>
      <c r="P59" s="775"/>
      <c r="R59" s="1193"/>
      <c r="T59" s="1210"/>
      <c r="X59" s="1183"/>
      <c r="Y59" s="1197"/>
      <c r="Z59" s="727" t="s">
        <v>569</v>
      </c>
      <c r="AA59" s="786">
        <v>266</v>
      </c>
      <c r="AB59" s="786">
        <v>1214</v>
      </c>
      <c r="AC59" s="5">
        <f t="shared" si="0"/>
        <v>1480</v>
      </c>
      <c r="AD59" s="1193"/>
      <c r="AF59" s="1193"/>
    </row>
    <row r="60" spans="1:32" x14ac:dyDescent="0.25">
      <c r="A60" s="1183">
        <v>29</v>
      </c>
      <c r="B60" s="1196" t="s">
        <v>708</v>
      </c>
      <c r="C60" s="783" t="s">
        <v>568</v>
      </c>
      <c r="D60" s="786">
        <v>568</v>
      </c>
      <c r="E60" s="786">
        <v>6</v>
      </c>
      <c r="F60" s="28">
        <f t="shared" si="1"/>
        <v>574</v>
      </c>
      <c r="G60" s="1192">
        <f>SUM(F60:F61)</f>
        <v>1120</v>
      </c>
      <c r="I60" s="1209">
        <v>0</v>
      </c>
      <c r="L60" s="1199">
        <f>D60+D61</f>
        <v>1022</v>
      </c>
      <c r="N60" s="1209">
        <v>0</v>
      </c>
      <c r="O60" s="775"/>
      <c r="P60" s="775"/>
      <c r="R60" s="1199">
        <f>E60+E61</f>
        <v>98</v>
      </c>
      <c r="T60" s="1209">
        <v>0</v>
      </c>
      <c r="X60" s="1183">
        <v>29</v>
      </c>
      <c r="Y60" s="1196" t="s">
        <v>708</v>
      </c>
      <c r="Z60" s="783" t="s">
        <v>568</v>
      </c>
      <c r="AA60" s="786">
        <v>86</v>
      </c>
      <c r="AB60" s="786">
        <v>9</v>
      </c>
      <c r="AC60" s="5">
        <f t="shared" si="0"/>
        <v>95</v>
      </c>
      <c r="AD60" s="1192">
        <f>SUM(AC60:AC61)</f>
        <v>543</v>
      </c>
      <c r="AF60" s="1192">
        <v>0</v>
      </c>
    </row>
    <row r="61" spans="1:32" x14ac:dyDescent="0.25">
      <c r="A61" s="1183"/>
      <c r="B61" s="1197"/>
      <c r="C61" s="727" t="s">
        <v>569</v>
      </c>
      <c r="D61" s="786">
        <v>454</v>
      </c>
      <c r="E61" s="786">
        <v>92</v>
      </c>
      <c r="F61" s="28">
        <f t="shared" si="1"/>
        <v>546</v>
      </c>
      <c r="G61" s="1193"/>
      <c r="I61" s="1210"/>
      <c r="L61" s="1193"/>
      <c r="N61" s="1210"/>
      <c r="O61" s="775"/>
      <c r="P61" s="775"/>
      <c r="R61" s="1193"/>
      <c r="T61" s="1210"/>
      <c r="X61" s="1183"/>
      <c r="Y61" s="1197"/>
      <c r="Z61" s="727" t="s">
        <v>569</v>
      </c>
      <c r="AA61" s="786">
        <v>372</v>
      </c>
      <c r="AB61" s="786">
        <v>76</v>
      </c>
      <c r="AC61" s="5">
        <f t="shared" si="0"/>
        <v>448</v>
      </c>
      <c r="AD61" s="1193"/>
      <c r="AF61" s="1193"/>
    </row>
    <row r="62" spans="1:32" x14ac:dyDescent="0.25">
      <c r="A62" s="1211">
        <v>30</v>
      </c>
      <c r="B62" s="1212" t="s">
        <v>683</v>
      </c>
      <c r="C62" s="790" t="s">
        <v>568</v>
      </c>
      <c r="D62" s="791">
        <v>4258</v>
      </c>
      <c r="E62" s="791">
        <v>4</v>
      </c>
      <c r="F62" s="792">
        <f t="shared" si="1"/>
        <v>4262</v>
      </c>
      <c r="G62" s="1214">
        <f>SUM(F62:F63)</f>
        <v>89394</v>
      </c>
      <c r="I62" s="1209">
        <v>0</v>
      </c>
      <c r="L62" s="1198">
        <f>D62+D63</f>
        <v>28798</v>
      </c>
      <c r="N62" s="1209">
        <v>0</v>
      </c>
      <c r="O62" s="775"/>
      <c r="P62" s="775"/>
      <c r="R62" s="1207">
        <f>E62+E63</f>
        <v>60596</v>
      </c>
      <c r="T62" s="1209">
        <v>0</v>
      </c>
      <c r="X62" s="1183">
        <v>30</v>
      </c>
      <c r="Y62" s="1196" t="s">
        <v>683</v>
      </c>
      <c r="Z62" s="783" t="s">
        <v>568</v>
      </c>
      <c r="AA62" s="786">
        <v>860</v>
      </c>
      <c r="AB62" s="786" t="s">
        <v>685</v>
      </c>
      <c r="AC62" s="5">
        <f t="shared" si="0"/>
        <v>860</v>
      </c>
      <c r="AD62" s="1192">
        <f>SUM(AC62:AC63)</f>
        <v>20950</v>
      </c>
      <c r="AF62" s="1192">
        <v>0</v>
      </c>
    </row>
    <row r="63" spans="1:32" x14ac:dyDescent="0.25">
      <c r="A63" s="1211"/>
      <c r="B63" s="1213"/>
      <c r="C63" s="793" t="s">
        <v>569</v>
      </c>
      <c r="D63" s="791">
        <v>24540</v>
      </c>
      <c r="E63" s="791">
        <v>60592</v>
      </c>
      <c r="F63" s="792">
        <f t="shared" si="1"/>
        <v>85132</v>
      </c>
      <c r="G63" s="1208"/>
      <c r="I63" s="1210"/>
      <c r="L63" s="1181"/>
      <c r="N63" s="1210"/>
      <c r="O63" s="775"/>
      <c r="P63" s="775"/>
      <c r="R63" s="1208"/>
      <c r="T63" s="1210"/>
      <c r="X63" s="1183"/>
      <c r="Y63" s="1197"/>
      <c r="Z63" s="727" t="s">
        <v>569</v>
      </c>
      <c r="AA63" s="786">
        <v>3247</v>
      </c>
      <c r="AB63" s="786">
        <v>16843</v>
      </c>
      <c r="AC63" s="5">
        <f t="shared" si="0"/>
        <v>20090</v>
      </c>
      <c r="AD63" s="1193"/>
      <c r="AF63" s="1193"/>
    </row>
    <row r="64" spans="1:32" x14ac:dyDescent="0.25">
      <c r="A64" s="1183">
        <v>31</v>
      </c>
      <c r="B64" s="1196" t="s">
        <v>709</v>
      </c>
      <c r="C64" s="783" t="s">
        <v>568</v>
      </c>
      <c r="D64" s="786">
        <v>87</v>
      </c>
      <c r="E64" s="786">
        <v>10</v>
      </c>
      <c r="F64" s="28">
        <f t="shared" si="1"/>
        <v>97</v>
      </c>
      <c r="G64" s="1192">
        <f>SUM(F64:F65)</f>
        <v>97</v>
      </c>
      <c r="I64" s="1209">
        <v>0</v>
      </c>
      <c r="L64" s="1199">
        <f>D64+D65</f>
        <v>87</v>
      </c>
      <c r="N64" s="1209">
        <v>0</v>
      </c>
      <c r="O64" s="775"/>
      <c r="P64" s="775"/>
      <c r="R64" s="1199">
        <f>E64+E65</f>
        <v>10</v>
      </c>
      <c r="T64" s="1209">
        <v>0</v>
      </c>
      <c r="X64" s="1183">
        <v>31</v>
      </c>
      <c r="Y64" s="1196" t="s">
        <v>709</v>
      </c>
      <c r="Z64" s="783" t="s">
        <v>568</v>
      </c>
      <c r="AA64" s="786" t="s">
        <v>685</v>
      </c>
      <c r="AB64" s="786" t="s">
        <v>685</v>
      </c>
      <c r="AC64" s="5">
        <f t="shared" si="0"/>
        <v>0</v>
      </c>
      <c r="AD64" s="1192">
        <f>SUM(AC64:AC65)</f>
        <v>0</v>
      </c>
      <c r="AF64" s="1192">
        <v>0</v>
      </c>
    </row>
    <row r="65" spans="1:32" ht="15.75" thickBot="1" x14ac:dyDescent="0.3">
      <c r="A65" s="1219"/>
      <c r="B65" s="1197"/>
      <c r="C65" s="727" t="s">
        <v>569</v>
      </c>
      <c r="D65" s="786">
        <v>0</v>
      </c>
      <c r="E65" s="786">
        <v>0</v>
      </c>
      <c r="F65" s="28">
        <f t="shared" si="1"/>
        <v>0</v>
      </c>
      <c r="G65" s="1218"/>
      <c r="I65" s="1210"/>
      <c r="L65" s="1218"/>
      <c r="N65" s="1210"/>
      <c r="O65" s="775"/>
      <c r="P65" s="775"/>
      <c r="R65" s="1193"/>
      <c r="T65" s="1210"/>
      <c r="X65" s="1183"/>
      <c r="Y65" s="1197"/>
      <c r="Z65" s="727" t="s">
        <v>569</v>
      </c>
      <c r="AA65" s="786" t="s">
        <v>685</v>
      </c>
      <c r="AB65" s="786" t="s">
        <v>685</v>
      </c>
      <c r="AC65" s="5">
        <f t="shared" si="0"/>
        <v>0</v>
      </c>
      <c r="AD65" s="1218"/>
      <c r="AF65" s="1193"/>
    </row>
    <row r="66" spans="1:32" x14ac:dyDescent="0.25">
      <c r="D66" s="1">
        <f>SUM(D4:D65)</f>
        <v>622188.83199999994</v>
      </c>
      <c r="E66" s="1">
        <f>SUM(E4:E65)</f>
        <v>502619.63800000004</v>
      </c>
      <c r="F66" s="1">
        <f>SUM(F4:F65)</f>
        <v>1124808.47</v>
      </c>
      <c r="G66" s="1">
        <f>SUM(G4:G65)</f>
        <v>1124808.47</v>
      </c>
      <c r="L66" s="1">
        <f>SUM(L4:L65)</f>
        <v>622188.83200000005</v>
      </c>
      <c r="N66" s="1">
        <f>SUM(N4:N65)</f>
        <v>622188.83200000005</v>
      </c>
      <c r="R66" s="794">
        <f>SUM(R4:R65)</f>
        <v>502619.63800000004</v>
      </c>
      <c r="T66" s="1">
        <f>SUM(T4:T65)</f>
        <v>502619.63800000004</v>
      </c>
      <c r="AA66" s="1">
        <f>SUM(AA4:AA65)</f>
        <v>74136.127000000008</v>
      </c>
      <c r="AB66" s="1">
        <f>SUM(AB4:AB65)</f>
        <v>130840.97</v>
      </c>
      <c r="AC66" s="1">
        <f>SUM(AC4:AC65)</f>
        <v>204977.09699999998</v>
      </c>
      <c r="AD66" s="1">
        <f>SUM(AD4:AD65)</f>
        <v>204977.09699999998</v>
      </c>
    </row>
    <row r="68" spans="1:32" x14ac:dyDescent="0.25">
      <c r="B68" t="s">
        <v>710</v>
      </c>
      <c r="C68" s="1">
        <f>I4+I6+I8</f>
        <v>459125</v>
      </c>
      <c r="E68" s="795" t="s">
        <v>711</v>
      </c>
      <c r="F68" s="796">
        <f>C68/F66*100</f>
        <v>40.818060340530685</v>
      </c>
      <c r="J68" t="s">
        <v>710</v>
      </c>
      <c r="K68" s="1">
        <f>N4+N6+N8</f>
        <v>326504</v>
      </c>
      <c r="L68" s="797" t="s">
        <v>711</v>
      </c>
      <c r="M68" s="798">
        <f>K68/L66*100</f>
        <v>52.476673191073921</v>
      </c>
      <c r="O68" t="s">
        <v>710</v>
      </c>
      <c r="P68" s="1">
        <f>T4+T6+T8</f>
        <v>194618.27</v>
      </c>
      <c r="R68" s="799" t="s">
        <v>711</v>
      </c>
      <c r="S68" s="72"/>
      <c r="T68" s="800">
        <f>P68/T66*100</f>
        <v>38.720785119820562</v>
      </c>
    </row>
    <row r="69" spans="1:32" x14ac:dyDescent="0.25">
      <c r="B69" t="s">
        <v>712</v>
      </c>
      <c r="C69" s="1">
        <f>I4+I6+I8+I10+I12</f>
        <v>646098.05000000005</v>
      </c>
      <c r="E69" s="795" t="s">
        <v>713</v>
      </c>
      <c r="F69" s="796">
        <f>C69/F66*100</f>
        <v>57.440716996023333</v>
      </c>
      <c r="J69" t="s">
        <v>712</v>
      </c>
      <c r="K69" s="1">
        <f>N4+N6+N8+N10+N12</f>
        <v>458780.18200000003</v>
      </c>
      <c r="L69" s="797" t="s">
        <v>713</v>
      </c>
      <c r="M69" s="798">
        <f>K69/L66*100</f>
        <v>73.736486160523057</v>
      </c>
      <c r="O69" t="s">
        <v>712</v>
      </c>
      <c r="P69" s="1">
        <f>T4+T6+T8+T10+T12</f>
        <v>279737.27</v>
      </c>
      <c r="R69" s="799" t="s">
        <v>713</v>
      </c>
      <c r="S69" s="72"/>
      <c r="T69" s="800">
        <f>P69/T66*100</f>
        <v>55.655857601011604</v>
      </c>
    </row>
    <row r="70" spans="1:32" x14ac:dyDescent="0.25">
      <c r="B70" t="s">
        <v>714</v>
      </c>
      <c r="C70" s="1">
        <f>I4+I6+I8+I10+I12+I14+I16+I18+I20+I22</f>
        <v>954642.67</v>
      </c>
      <c r="E70" s="795" t="s">
        <v>715</v>
      </c>
      <c r="F70" s="796">
        <f>C70/F66*100</f>
        <v>84.871575513651678</v>
      </c>
      <c r="J70" t="s">
        <v>714</v>
      </c>
      <c r="K70" s="1">
        <f>N4+N6+N8+N10+N12+N14+N16+N18+N20+N22</f>
        <v>576932.18200000003</v>
      </c>
      <c r="L70" s="797" t="s">
        <v>715</v>
      </c>
      <c r="M70" s="798">
        <f>K70/L66*100</f>
        <v>92.726219489584153</v>
      </c>
      <c r="O70" t="s">
        <v>714</v>
      </c>
      <c r="P70" s="1">
        <f>T4+T6+T8+T10+T12+T14+T16+T18+T20+T22</f>
        <v>432730.27</v>
      </c>
      <c r="R70" s="799" t="s">
        <v>715</v>
      </c>
      <c r="S70" s="72"/>
      <c r="T70" s="800">
        <f>P70/T66*100</f>
        <v>86.094978644666483</v>
      </c>
    </row>
    <row r="88" spans="3:7" ht="15.75" thickBot="1" x14ac:dyDescent="0.3"/>
    <row r="89" spans="3:7" x14ac:dyDescent="0.25">
      <c r="C89" s="1215">
        <v>2018</v>
      </c>
      <c r="D89" s="1216"/>
      <c r="E89" s="1216"/>
      <c r="F89" s="1216"/>
      <c r="G89" s="1217"/>
    </row>
    <row r="90" spans="3:7" x14ac:dyDescent="0.25">
      <c r="C90" s="704"/>
      <c r="D90" s="597" t="s">
        <v>716</v>
      </c>
      <c r="E90" s="597" t="s">
        <v>717</v>
      </c>
      <c r="F90" s="597" t="s">
        <v>718</v>
      </c>
      <c r="G90" s="590"/>
    </row>
    <row r="91" spans="3:7" x14ac:dyDescent="0.25">
      <c r="C91" s="704" t="s">
        <v>719</v>
      </c>
      <c r="D91" s="14">
        <v>40.818060340530685</v>
      </c>
      <c r="E91" s="14">
        <v>52.476673191073921</v>
      </c>
      <c r="F91" s="14">
        <v>38.720785119820562</v>
      </c>
      <c r="G91" s="590"/>
    </row>
    <row r="92" spans="3:7" x14ac:dyDescent="0.25">
      <c r="C92" s="704" t="s">
        <v>720</v>
      </c>
      <c r="D92" s="14">
        <v>57.440716996023333</v>
      </c>
      <c r="E92" s="14">
        <v>73.736486160523057</v>
      </c>
      <c r="F92" s="14">
        <v>55.655857601011604</v>
      </c>
      <c r="G92" s="590"/>
    </row>
    <row r="93" spans="3:7" ht="15.75" thickBot="1" x14ac:dyDescent="0.3">
      <c r="C93" s="801" t="s">
        <v>721</v>
      </c>
      <c r="D93" s="403">
        <v>84.871575513651678</v>
      </c>
      <c r="E93" s="403">
        <v>92.726219489584153</v>
      </c>
      <c r="F93" s="403">
        <v>86.094978644666483</v>
      </c>
      <c r="G93" s="592"/>
    </row>
    <row r="96" spans="3:7" ht="15.75" thickBot="1" x14ac:dyDescent="0.3"/>
    <row r="97" spans="3:18" x14ac:dyDescent="0.25">
      <c r="C97" s="1215">
        <v>2019</v>
      </c>
      <c r="D97" s="1216"/>
      <c r="E97" s="1216"/>
      <c r="F97" s="1216"/>
      <c r="G97" s="1217"/>
    </row>
    <row r="98" spans="3:18" x14ac:dyDescent="0.25">
      <c r="C98" s="704"/>
      <c r="D98" s="597" t="s">
        <v>716</v>
      </c>
      <c r="E98" s="597" t="s">
        <v>717</v>
      </c>
      <c r="F98" s="597" t="s">
        <v>718</v>
      </c>
      <c r="G98" s="590"/>
    </row>
    <row r="99" spans="3:18" x14ac:dyDescent="0.25">
      <c r="C99" s="704" t="s">
        <v>719</v>
      </c>
      <c r="D99" s="14">
        <v>40.178198086302622</v>
      </c>
      <c r="E99" s="14">
        <v>51.513512802646375</v>
      </c>
      <c r="F99" s="14">
        <v>33.264622491946092</v>
      </c>
      <c r="G99" s="590"/>
    </row>
    <row r="100" spans="3:18" x14ac:dyDescent="0.25">
      <c r="C100" s="704" t="s">
        <v>720</v>
      </c>
      <c r="D100" s="14">
        <v>53.993783015519767</v>
      </c>
      <c r="E100" s="14">
        <v>69.144960769524573</v>
      </c>
      <c r="F100" s="14">
        <v>51.432241676091493</v>
      </c>
      <c r="G100" s="590"/>
    </row>
    <row r="101" spans="3:18" ht="15.75" thickBot="1" x14ac:dyDescent="0.3">
      <c r="C101" s="801" t="s">
        <v>721</v>
      </c>
      <c r="D101" s="403">
        <v>83.441800951849146</v>
      </c>
      <c r="E101" s="403">
        <v>92.21093213993997</v>
      </c>
      <c r="F101" s="403">
        <v>84.718232091880679</v>
      </c>
      <c r="G101" s="592"/>
    </row>
    <row r="102" spans="3:18" ht="105" x14ac:dyDescent="0.25">
      <c r="J102" s="802" t="s">
        <v>722</v>
      </c>
      <c r="K102" s="803" t="s">
        <v>723</v>
      </c>
      <c r="M102" s="802" t="s">
        <v>722</v>
      </c>
      <c r="N102" s="803" t="s">
        <v>724</v>
      </c>
      <c r="P102" s="802" t="s">
        <v>722</v>
      </c>
      <c r="Q102" s="803" t="s">
        <v>725</v>
      </c>
    </row>
    <row r="103" spans="3:18" x14ac:dyDescent="0.25">
      <c r="C103" t="s">
        <v>710</v>
      </c>
      <c r="D103" s="1">
        <v>510093</v>
      </c>
      <c r="E103" s="795" t="s">
        <v>711</v>
      </c>
      <c r="F103" s="796">
        <f>D103/K134*100</f>
        <v>40.178198086302622</v>
      </c>
      <c r="J103" s="804" t="s">
        <v>677</v>
      </c>
      <c r="K103" s="805">
        <v>173635</v>
      </c>
      <c r="L103" s="1">
        <f>K103+K104+K105</f>
        <v>510093</v>
      </c>
      <c r="M103" s="804" t="s">
        <v>678</v>
      </c>
      <c r="N103" s="271">
        <v>149857</v>
      </c>
      <c r="O103" s="806">
        <f>N103+N104+N105</f>
        <v>375020</v>
      </c>
      <c r="P103" s="804" t="s">
        <v>677</v>
      </c>
      <c r="Q103" s="148">
        <v>67463</v>
      </c>
      <c r="R103" s="1">
        <f>Q103+Q104+Q105</f>
        <v>180152.36</v>
      </c>
    </row>
    <row r="104" spans="3:18" x14ac:dyDescent="0.25">
      <c r="C104" t="s">
        <v>712</v>
      </c>
      <c r="D104" s="1">
        <v>685492.43299999996</v>
      </c>
      <c r="E104" s="795" t="s">
        <v>713</v>
      </c>
      <c r="F104" s="796">
        <f>D104/K134*100</f>
        <v>53.993783015519767</v>
      </c>
      <c r="J104" s="804" t="s">
        <v>678</v>
      </c>
      <c r="K104" s="805">
        <v>171063</v>
      </c>
      <c r="M104" s="804" t="s">
        <v>726</v>
      </c>
      <c r="N104" s="271">
        <v>118991</v>
      </c>
      <c r="O104" s="267"/>
      <c r="P104" s="804" t="s">
        <v>727</v>
      </c>
      <c r="Q104" s="148">
        <v>56719.360000000001</v>
      </c>
    </row>
    <row r="105" spans="3:18" x14ac:dyDescent="0.25">
      <c r="C105" t="s">
        <v>714</v>
      </c>
      <c r="D105" s="1">
        <v>1059357.577</v>
      </c>
      <c r="E105" s="795" t="s">
        <v>715</v>
      </c>
      <c r="F105" s="796">
        <f>D105/K134*100</f>
        <v>83.441800951849146</v>
      </c>
      <c r="J105" s="804" t="s">
        <v>726</v>
      </c>
      <c r="K105" s="805">
        <v>165395</v>
      </c>
      <c r="M105" s="804" t="s">
        <v>677</v>
      </c>
      <c r="N105" s="271">
        <v>106172</v>
      </c>
      <c r="O105" s="267"/>
      <c r="P105" s="804" t="s">
        <v>728</v>
      </c>
      <c r="Q105" s="148">
        <v>55970</v>
      </c>
    </row>
    <row r="106" spans="3:18" x14ac:dyDescent="0.25">
      <c r="J106" s="804" t="s">
        <v>729</v>
      </c>
      <c r="K106" s="805">
        <v>90705.43299999999</v>
      </c>
      <c r="M106" s="804" t="s">
        <v>729</v>
      </c>
      <c r="N106" s="271">
        <v>78433.437000000005</v>
      </c>
      <c r="O106" s="267"/>
      <c r="P106" s="804" t="s">
        <v>730</v>
      </c>
      <c r="Q106" s="148">
        <v>51987</v>
      </c>
    </row>
    <row r="107" spans="3:18" x14ac:dyDescent="0.25">
      <c r="J107" s="804" t="s">
        <v>728</v>
      </c>
      <c r="K107" s="805">
        <v>84694</v>
      </c>
      <c r="L107" s="1">
        <f>K103+K104+K105+K106+K107</f>
        <v>685492.43299999996</v>
      </c>
      <c r="M107" s="804" t="s">
        <v>731</v>
      </c>
      <c r="N107" s="271">
        <v>49924.061000000002</v>
      </c>
      <c r="O107" s="806">
        <f>N103+N104+N105+N106+N107</f>
        <v>503377.49800000002</v>
      </c>
      <c r="P107" s="804" t="s">
        <v>726</v>
      </c>
      <c r="Q107" s="148">
        <v>46404</v>
      </c>
      <c r="R107" s="1">
        <f>Q103+Q104+Q105+Q106+Q107</f>
        <v>278543.35999999999</v>
      </c>
    </row>
    <row r="108" spans="3:18" x14ac:dyDescent="0.25">
      <c r="J108" s="804" t="s">
        <v>731</v>
      </c>
      <c r="K108" s="805">
        <v>84278.144000000015</v>
      </c>
      <c r="M108" s="804" t="s">
        <v>732</v>
      </c>
      <c r="N108" s="271">
        <v>45789</v>
      </c>
      <c r="O108" s="267"/>
      <c r="P108" s="804" t="s">
        <v>733</v>
      </c>
      <c r="Q108" s="148">
        <v>46234</v>
      </c>
    </row>
    <row r="109" spans="3:18" x14ac:dyDescent="0.25">
      <c r="C109" t="s">
        <v>710</v>
      </c>
      <c r="D109" s="1">
        <v>375020</v>
      </c>
      <c r="E109" s="797" t="s">
        <v>711</v>
      </c>
      <c r="F109" s="798">
        <f>D109/N134*100</f>
        <v>51.513512802646375</v>
      </c>
      <c r="J109" s="804" t="s">
        <v>732</v>
      </c>
      <c r="K109" s="805">
        <v>81711</v>
      </c>
      <c r="M109" s="804" t="s">
        <v>701</v>
      </c>
      <c r="N109" s="271">
        <v>44127</v>
      </c>
      <c r="O109" s="267"/>
      <c r="P109" s="804" t="s">
        <v>734</v>
      </c>
      <c r="Q109" s="148">
        <v>39377</v>
      </c>
    </row>
    <row r="110" spans="3:18" x14ac:dyDescent="0.25">
      <c r="C110" t="s">
        <v>712</v>
      </c>
      <c r="D110" s="1">
        <v>503377.49800000002</v>
      </c>
      <c r="E110" s="797" t="s">
        <v>713</v>
      </c>
      <c r="F110" s="798">
        <f>D110/N134*100</f>
        <v>69.144960769524573</v>
      </c>
      <c r="J110" s="804" t="s">
        <v>730</v>
      </c>
      <c r="K110" s="805">
        <v>72984</v>
      </c>
      <c r="M110" s="804" t="s">
        <v>728</v>
      </c>
      <c r="N110" s="271">
        <v>28724</v>
      </c>
      <c r="O110" s="267"/>
      <c r="P110" s="804" t="s">
        <v>732</v>
      </c>
      <c r="Q110" s="148">
        <v>35922</v>
      </c>
    </row>
    <row r="111" spans="3:18" x14ac:dyDescent="0.25">
      <c r="C111" t="s">
        <v>714</v>
      </c>
      <c r="D111" s="1">
        <v>671298.49800000002</v>
      </c>
      <c r="E111" s="797" t="s">
        <v>715</v>
      </c>
      <c r="F111" s="798">
        <f>D111/N134*100</f>
        <v>92.21093213993997</v>
      </c>
      <c r="J111" s="804" t="s">
        <v>733</v>
      </c>
      <c r="K111" s="805">
        <v>69590</v>
      </c>
      <c r="M111" s="804" t="s">
        <v>734</v>
      </c>
      <c r="N111" s="271">
        <v>25925</v>
      </c>
      <c r="O111" s="267"/>
      <c r="P111" s="804" t="s">
        <v>731</v>
      </c>
      <c r="Q111" s="148">
        <v>34354.082999999999</v>
      </c>
    </row>
    <row r="112" spans="3:18" x14ac:dyDescent="0.25">
      <c r="J112" s="804" t="s">
        <v>734</v>
      </c>
      <c r="K112" s="805">
        <v>65302</v>
      </c>
      <c r="L112" s="1">
        <f>K103+K104+K105+K106+K107+K108+K109+K110+K111+K112</f>
        <v>1059357.577</v>
      </c>
      <c r="M112" s="804" t="s">
        <v>733</v>
      </c>
      <c r="N112" s="271">
        <v>23356</v>
      </c>
      <c r="O112" s="806">
        <f>N103+N104+N105+N106+N107+N108+N109+N110+N111+N112</f>
        <v>671298.49800000002</v>
      </c>
      <c r="P112" s="804" t="s">
        <v>735</v>
      </c>
      <c r="Q112" s="148">
        <v>24381</v>
      </c>
      <c r="R112" s="1">
        <f>Q103+Q104+Q105+Q106+Q107+Q108+Q109+Q110+Q111+Q112</f>
        <v>458811.44299999997</v>
      </c>
    </row>
    <row r="113" spans="3:17" x14ac:dyDescent="0.25">
      <c r="J113" s="804" t="s">
        <v>727</v>
      </c>
      <c r="K113" s="805">
        <v>60121.440000000002</v>
      </c>
      <c r="M113" s="804" t="s">
        <v>730</v>
      </c>
      <c r="N113" s="271">
        <v>20997</v>
      </c>
      <c r="P113" s="804" t="s">
        <v>691</v>
      </c>
      <c r="Q113" s="148">
        <v>21745</v>
      </c>
    </row>
    <row r="114" spans="3:17" x14ac:dyDescent="0.25">
      <c r="J114" s="804" t="s">
        <v>701</v>
      </c>
      <c r="K114" s="805">
        <v>46891</v>
      </c>
      <c r="M114" s="804" t="s">
        <v>736</v>
      </c>
      <c r="N114" s="271">
        <v>5812</v>
      </c>
      <c r="P114" s="804" t="s">
        <v>678</v>
      </c>
      <c r="Q114" s="148">
        <v>21206</v>
      </c>
    </row>
    <row r="115" spans="3:17" x14ac:dyDescent="0.25">
      <c r="C115" t="s">
        <v>710</v>
      </c>
      <c r="D115" s="1">
        <v>180152.36</v>
      </c>
      <c r="E115" s="799" t="s">
        <v>711</v>
      </c>
      <c r="F115" s="800">
        <f>D115/Q134*100</f>
        <v>33.264622491946092</v>
      </c>
      <c r="J115" s="804" t="s">
        <v>735</v>
      </c>
      <c r="K115" s="805">
        <v>27402</v>
      </c>
      <c r="M115" s="804" t="s">
        <v>703</v>
      </c>
      <c r="N115" s="271">
        <v>5715</v>
      </c>
      <c r="P115" s="804" t="s">
        <v>736</v>
      </c>
      <c r="Q115" s="148">
        <v>14442</v>
      </c>
    </row>
    <row r="116" spans="3:17" x14ac:dyDescent="0.25">
      <c r="C116" t="s">
        <v>712</v>
      </c>
      <c r="D116" s="1">
        <v>278543.35999999999</v>
      </c>
      <c r="E116" s="799" t="s">
        <v>713</v>
      </c>
      <c r="F116" s="800">
        <f>D116/Q134*100</f>
        <v>51.432241676091493</v>
      </c>
      <c r="J116" s="804" t="s">
        <v>691</v>
      </c>
      <c r="K116" s="805">
        <v>26979</v>
      </c>
      <c r="M116" s="804" t="s">
        <v>691</v>
      </c>
      <c r="N116" s="271">
        <v>5234</v>
      </c>
      <c r="P116" s="804" t="s">
        <v>729</v>
      </c>
      <c r="Q116" s="148">
        <v>12271.996000000001</v>
      </c>
    </row>
    <row r="117" spans="3:17" x14ac:dyDescent="0.25">
      <c r="C117" t="s">
        <v>714</v>
      </c>
      <c r="D117" s="1">
        <v>458811.44299999997</v>
      </c>
      <c r="E117" s="799" t="s">
        <v>715</v>
      </c>
      <c r="F117" s="800">
        <f>D117/Q134*100</f>
        <v>84.718232091880679</v>
      </c>
      <c r="J117" s="804" t="s">
        <v>736</v>
      </c>
      <c r="K117" s="805">
        <v>20254</v>
      </c>
      <c r="M117" s="804" t="s">
        <v>737</v>
      </c>
      <c r="N117" s="271">
        <v>4526</v>
      </c>
      <c r="P117" s="804" t="s">
        <v>703</v>
      </c>
      <c r="Q117" s="148">
        <v>6927</v>
      </c>
    </row>
    <row r="118" spans="3:17" x14ac:dyDescent="0.25">
      <c r="J118" s="804" t="s">
        <v>703</v>
      </c>
      <c r="K118" s="805">
        <v>12642</v>
      </c>
      <c r="M118" s="804" t="s">
        <v>738</v>
      </c>
      <c r="N118" s="271">
        <v>3677</v>
      </c>
      <c r="P118" s="804" t="s">
        <v>701</v>
      </c>
      <c r="Q118" s="148">
        <v>2764</v>
      </c>
    </row>
    <row r="119" spans="3:17" x14ac:dyDescent="0.25">
      <c r="J119" s="807" t="s">
        <v>737</v>
      </c>
      <c r="K119" s="805">
        <v>4611</v>
      </c>
      <c r="M119" s="807" t="s">
        <v>727</v>
      </c>
      <c r="N119" s="271">
        <v>3402.08</v>
      </c>
      <c r="P119" s="807" t="s">
        <v>739</v>
      </c>
      <c r="Q119" s="148">
        <v>2459</v>
      </c>
    </row>
    <row r="120" spans="3:17" x14ac:dyDescent="0.25">
      <c r="J120" s="804" t="s">
        <v>738</v>
      </c>
      <c r="K120" s="805">
        <v>3809</v>
      </c>
      <c r="M120" s="804" t="s">
        <v>735</v>
      </c>
      <c r="N120" s="271">
        <v>3021</v>
      </c>
      <c r="P120" s="804" t="s">
        <v>740</v>
      </c>
      <c r="Q120" s="148">
        <v>457</v>
      </c>
    </row>
    <row r="121" spans="3:17" x14ac:dyDescent="0.25">
      <c r="J121" s="804" t="s">
        <v>739</v>
      </c>
      <c r="K121" s="805">
        <v>3804</v>
      </c>
      <c r="M121" s="804" t="s">
        <v>741</v>
      </c>
      <c r="N121" s="271">
        <v>1685</v>
      </c>
      <c r="P121" s="804" t="s">
        <v>742</v>
      </c>
      <c r="Q121" s="148">
        <v>214</v>
      </c>
    </row>
    <row r="122" spans="3:17" x14ac:dyDescent="0.25">
      <c r="J122" s="804" t="s">
        <v>741</v>
      </c>
      <c r="K122" s="805">
        <v>1735</v>
      </c>
      <c r="M122" s="804" t="s">
        <v>739</v>
      </c>
      <c r="N122" s="271">
        <v>1345</v>
      </c>
      <c r="P122" s="804" t="s">
        <v>738</v>
      </c>
      <c r="Q122" s="148">
        <v>132</v>
      </c>
    </row>
    <row r="123" spans="3:17" x14ac:dyDescent="0.25">
      <c r="J123" s="804" t="s">
        <v>742</v>
      </c>
      <c r="K123" s="805">
        <v>1148</v>
      </c>
      <c r="M123" s="804" t="s">
        <v>742</v>
      </c>
      <c r="N123" s="271">
        <v>934</v>
      </c>
      <c r="P123" s="804" t="s">
        <v>737</v>
      </c>
      <c r="Q123" s="148">
        <v>85</v>
      </c>
    </row>
    <row r="124" spans="3:17" x14ac:dyDescent="0.25">
      <c r="J124" s="804" t="s">
        <v>740</v>
      </c>
      <c r="K124" s="805">
        <v>457</v>
      </c>
      <c r="M124" s="804" t="s">
        <v>743</v>
      </c>
      <c r="N124" s="271">
        <v>222.58</v>
      </c>
      <c r="P124" s="804" t="s">
        <v>741</v>
      </c>
      <c r="Q124" s="148">
        <v>50</v>
      </c>
    </row>
    <row r="125" spans="3:17" x14ac:dyDescent="0.25">
      <c r="J125" s="804" t="s">
        <v>743</v>
      </c>
      <c r="K125" s="805">
        <v>222.58</v>
      </c>
      <c r="M125" s="804" t="s">
        <v>709</v>
      </c>
      <c r="N125" s="271">
        <v>132</v>
      </c>
      <c r="P125" s="804" t="s">
        <v>744</v>
      </c>
      <c r="Q125" s="148">
        <v>6</v>
      </c>
    </row>
    <row r="126" spans="3:17" x14ac:dyDescent="0.25">
      <c r="J126" s="804" t="s">
        <v>709</v>
      </c>
      <c r="K126" s="805">
        <v>135</v>
      </c>
      <c r="M126" s="804" t="s">
        <v>744</v>
      </c>
      <c r="N126" s="271">
        <v>2</v>
      </c>
      <c r="P126" s="804" t="s">
        <v>709</v>
      </c>
      <c r="Q126" s="148">
        <v>3</v>
      </c>
    </row>
    <row r="127" spans="3:17" x14ac:dyDescent="0.25">
      <c r="J127" s="804" t="s">
        <v>744</v>
      </c>
      <c r="K127" s="805">
        <v>8</v>
      </c>
      <c r="M127" s="804" t="s">
        <v>740</v>
      </c>
      <c r="N127" s="271">
        <v>0</v>
      </c>
      <c r="P127" s="804" t="s">
        <v>745</v>
      </c>
      <c r="Q127" s="148">
        <v>0</v>
      </c>
    </row>
    <row r="128" spans="3:17" x14ac:dyDescent="0.25">
      <c r="J128" s="804" t="s">
        <v>745</v>
      </c>
      <c r="K128" s="805">
        <v>0</v>
      </c>
      <c r="M128" s="804" t="s">
        <v>745</v>
      </c>
      <c r="N128" s="271">
        <v>0</v>
      </c>
      <c r="P128" s="804" t="s">
        <v>743</v>
      </c>
      <c r="Q128" s="148">
        <v>0</v>
      </c>
    </row>
    <row r="129" spans="10:17" x14ac:dyDescent="0.25">
      <c r="J129" s="804" t="s">
        <v>695</v>
      </c>
      <c r="K129" s="805">
        <v>0</v>
      </c>
      <c r="M129" s="804" t="s">
        <v>695</v>
      </c>
      <c r="N129" s="271">
        <v>0</v>
      </c>
      <c r="P129" s="804" t="s">
        <v>695</v>
      </c>
      <c r="Q129" s="148">
        <v>0</v>
      </c>
    </row>
    <row r="130" spans="10:17" x14ac:dyDescent="0.25">
      <c r="J130" s="804" t="s">
        <v>746</v>
      </c>
      <c r="K130" s="805">
        <v>0</v>
      </c>
      <c r="M130" s="804" t="s">
        <v>746</v>
      </c>
      <c r="N130" s="271">
        <v>0</v>
      </c>
      <c r="P130" s="804" t="s">
        <v>746</v>
      </c>
      <c r="Q130" s="148">
        <v>0</v>
      </c>
    </row>
    <row r="131" spans="10:17" x14ac:dyDescent="0.25">
      <c r="J131" s="804" t="s">
        <v>747</v>
      </c>
      <c r="K131" s="805">
        <v>0</v>
      </c>
      <c r="M131" s="804" t="s">
        <v>747</v>
      </c>
      <c r="N131" s="271">
        <v>0</v>
      </c>
      <c r="P131" s="804" t="s">
        <v>747</v>
      </c>
      <c r="Q131" s="148">
        <v>0</v>
      </c>
    </row>
    <row r="132" spans="10:17" x14ac:dyDescent="0.25">
      <c r="J132" s="808" t="s">
        <v>748</v>
      </c>
      <c r="K132" s="805">
        <v>0</v>
      </c>
      <c r="M132" s="808" t="s">
        <v>748</v>
      </c>
      <c r="N132" s="271">
        <v>0</v>
      </c>
      <c r="P132" s="808" t="s">
        <v>748</v>
      </c>
      <c r="Q132" s="148">
        <v>0</v>
      </c>
    </row>
    <row r="133" spans="10:17" ht="15.75" thickBot="1" x14ac:dyDescent="0.3">
      <c r="J133" s="809" t="s">
        <v>700</v>
      </c>
      <c r="K133" s="810">
        <v>0</v>
      </c>
      <c r="M133" s="809" t="s">
        <v>700</v>
      </c>
      <c r="N133" s="271">
        <v>0</v>
      </c>
      <c r="P133" s="809" t="s">
        <v>700</v>
      </c>
      <c r="Q133" s="811">
        <v>0</v>
      </c>
    </row>
    <row r="134" spans="10:17" ht="15.75" thickBot="1" x14ac:dyDescent="0.3">
      <c r="J134" s="812" t="s">
        <v>749</v>
      </c>
      <c r="K134" s="813">
        <v>1269576.5970000001</v>
      </c>
      <c r="M134" s="812" t="s">
        <v>749</v>
      </c>
      <c r="N134" s="814">
        <v>728003.15800000005</v>
      </c>
      <c r="P134" s="194" t="s">
        <v>121</v>
      </c>
      <c r="Q134" s="815">
        <v>541573.43900000013</v>
      </c>
    </row>
  </sheetData>
  <mergeCells count="454">
    <mergeCell ref="C89:G89"/>
    <mergeCell ref="C97:G97"/>
    <mergeCell ref="R64:R65"/>
    <mergeCell ref="T64:T65"/>
    <mergeCell ref="X64:X65"/>
    <mergeCell ref="Y64:Y65"/>
    <mergeCell ref="AD64:AD65"/>
    <mergeCell ref="AF64:AF65"/>
    <mergeCell ref="A64:A65"/>
    <mergeCell ref="B64:B65"/>
    <mergeCell ref="G64:G65"/>
    <mergeCell ref="I64:I65"/>
    <mergeCell ref="L64:L65"/>
    <mergeCell ref="N64:N65"/>
    <mergeCell ref="R62:R63"/>
    <mergeCell ref="T62:T63"/>
    <mergeCell ref="X62:X63"/>
    <mergeCell ref="Y62:Y63"/>
    <mergeCell ref="AD62:AD63"/>
    <mergeCell ref="AF62:AF63"/>
    <mergeCell ref="A62:A63"/>
    <mergeCell ref="B62:B63"/>
    <mergeCell ref="G62:G63"/>
    <mergeCell ref="I62:I63"/>
    <mergeCell ref="L62:L63"/>
    <mergeCell ref="N62:N63"/>
    <mergeCell ref="R60:R61"/>
    <mergeCell ref="T60:T61"/>
    <mergeCell ref="X60:X61"/>
    <mergeCell ref="Y60:Y61"/>
    <mergeCell ref="AD60:AD61"/>
    <mergeCell ref="AF60:AF61"/>
    <mergeCell ref="A60:A61"/>
    <mergeCell ref="B60:B61"/>
    <mergeCell ref="G60:G61"/>
    <mergeCell ref="I60:I61"/>
    <mergeCell ref="L60:L61"/>
    <mergeCell ref="N60:N61"/>
    <mergeCell ref="R58:R59"/>
    <mergeCell ref="T58:T59"/>
    <mergeCell ref="X58:X59"/>
    <mergeCell ref="Y58:Y59"/>
    <mergeCell ref="AD58:AD59"/>
    <mergeCell ref="AF58:AF59"/>
    <mergeCell ref="A58:A59"/>
    <mergeCell ref="B58:B59"/>
    <mergeCell ref="G58:G59"/>
    <mergeCell ref="I58:I59"/>
    <mergeCell ref="L58:L59"/>
    <mergeCell ref="N58:N59"/>
    <mergeCell ref="R56:R57"/>
    <mergeCell ref="T56:T57"/>
    <mergeCell ref="X56:X57"/>
    <mergeCell ref="Y56:Y57"/>
    <mergeCell ref="AD56:AD57"/>
    <mergeCell ref="AF56:AF57"/>
    <mergeCell ref="A56:A57"/>
    <mergeCell ref="B56:B57"/>
    <mergeCell ref="G56:G57"/>
    <mergeCell ref="I56:I57"/>
    <mergeCell ref="L56:L57"/>
    <mergeCell ref="N56:N57"/>
    <mergeCell ref="R54:R55"/>
    <mergeCell ref="T54:T55"/>
    <mergeCell ref="X54:X55"/>
    <mergeCell ref="Y54:Y55"/>
    <mergeCell ref="AD54:AD55"/>
    <mergeCell ref="AF54:AF55"/>
    <mergeCell ref="A54:A55"/>
    <mergeCell ref="B54:B55"/>
    <mergeCell ref="G54:G55"/>
    <mergeCell ref="I54:I55"/>
    <mergeCell ref="L54:L55"/>
    <mergeCell ref="N54:N55"/>
    <mergeCell ref="R52:R53"/>
    <mergeCell ref="T52:T53"/>
    <mergeCell ref="X52:X53"/>
    <mergeCell ref="Y52:Y53"/>
    <mergeCell ref="AD52:AD53"/>
    <mergeCell ref="AF52:AF53"/>
    <mergeCell ref="A52:A53"/>
    <mergeCell ref="B52:B53"/>
    <mergeCell ref="G52:G53"/>
    <mergeCell ref="I52:I53"/>
    <mergeCell ref="L52:L53"/>
    <mergeCell ref="N52:N53"/>
    <mergeCell ref="R50:R51"/>
    <mergeCell ref="T50:T51"/>
    <mergeCell ref="X50:X51"/>
    <mergeCell ref="Y50:Y51"/>
    <mergeCell ref="AD50:AD51"/>
    <mergeCell ref="AF50:AF51"/>
    <mergeCell ref="A50:A51"/>
    <mergeCell ref="B50:B51"/>
    <mergeCell ref="G50:G51"/>
    <mergeCell ref="I50:I51"/>
    <mergeCell ref="L50:L51"/>
    <mergeCell ref="N50:N51"/>
    <mergeCell ref="R48:R49"/>
    <mergeCell ref="T48:T49"/>
    <mergeCell ref="X48:X49"/>
    <mergeCell ref="Y48:Y49"/>
    <mergeCell ref="AD48:AD49"/>
    <mergeCell ref="AF48:AF49"/>
    <mergeCell ref="A48:A49"/>
    <mergeCell ref="B48:B49"/>
    <mergeCell ref="G48:G49"/>
    <mergeCell ref="I48:I49"/>
    <mergeCell ref="L48:L49"/>
    <mergeCell ref="N48:N49"/>
    <mergeCell ref="R46:R47"/>
    <mergeCell ref="T46:T47"/>
    <mergeCell ref="X46:X47"/>
    <mergeCell ref="Y46:Y47"/>
    <mergeCell ref="AD46:AD47"/>
    <mergeCell ref="AF46:AF47"/>
    <mergeCell ref="A46:A47"/>
    <mergeCell ref="B46:B47"/>
    <mergeCell ref="G46:G47"/>
    <mergeCell ref="I46:I47"/>
    <mergeCell ref="L46:L47"/>
    <mergeCell ref="N46:N47"/>
    <mergeCell ref="R44:R45"/>
    <mergeCell ref="T44:T45"/>
    <mergeCell ref="X44:X45"/>
    <mergeCell ref="Y44:Y45"/>
    <mergeCell ref="AD44:AD45"/>
    <mergeCell ref="AF44:AF45"/>
    <mergeCell ref="A44:A45"/>
    <mergeCell ref="B44:B45"/>
    <mergeCell ref="G44:G45"/>
    <mergeCell ref="I44:I45"/>
    <mergeCell ref="L44:L45"/>
    <mergeCell ref="N44:N45"/>
    <mergeCell ref="R42:R43"/>
    <mergeCell ref="T42:T43"/>
    <mergeCell ref="X42:X43"/>
    <mergeCell ref="Y42:Y43"/>
    <mergeCell ref="AD42:AD43"/>
    <mergeCell ref="AF42:AF43"/>
    <mergeCell ref="A42:A43"/>
    <mergeCell ref="B42:B43"/>
    <mergeCell ref="G42:G43"/>
    <mergeCell ref="I42:I43"/>
    <mergeCell ref="L42:L43"/>
    <mergeCell ref="N42:N43"/>
    <mergeCell ref="R40:R41"/>
    <mergeCell ref="T40:T41"/>
    <mergeCell ref="X40:X41"/>
    <mergeCell ref="Y40:Y41"/>
    <mergeCell ref="AD40:AD41"/>
    <mergeCell ref="AF40:AF41"/>
    <mergeCell ref="A40:A41"/>
    <mergeCell ref="B40:B41"/>
    <mergeCell ref="G40:G41"/>
    <mergeCell ref="I40:I41"/>
    <mergeCell ref="L40:L41"/>
    <mergeCell ref="N40:N41"/>
    <mergeCell ref="R38:R39"/>
    <mergeCell ref="T38:T39"/>
    <mergeCell ref="X38:X39"/>
    <mergeCell ref="Y38:Y39"/>
    <mergeCell ref="AD38:AD39"/>
    <mergeCell ref="AF38:AF39"/>
    <mergeCell ref="A38:A39"/>
    <mergeCell ref="B38:B39"/>
    <mergeCell ref="G38:G39"/>
    <mergeCell ref="I38:I39"/>
    <mergeCell ref="L38:L39"/>
    <mergeCell ref="N38:N39"/>
    <mergeCell ref="R36:R37"/>
    <mergeCell ref="T36:T37"/>
    <mergeCell ref="X36:X37"/>
    <mergeCell ref="Y36:Y37"/>
    <mergeCell ref="AD36:AD37"/>
    <mergeCell ref="AF36:AF37"/>
    <mergeCell ref="A36:A37"/>
    <mergeCell ref="B36:B37"/>
    <mergeCell ref="G36:G37"/>
    <mergeCell ref="I36:I37"/>
    <mergeCell ref="L36:L37"/>
    <mergeCell ref="N36:N37"/>
    <mergeCell ref="R34:R35"/>
    <mergeCell ref="T34:T35"/>
    <mergeCell ref="X34:X35"/>
    <mergeCell ref="Y34:Y35"/>
    <mergeCell ref="AD34:AD35"/>
    <mergeCell ref="AF34:AF35"/>
    <mergeCell ref="A34:A35"/>
    <mergeCell ref="B34:B35"/>
    <mergeCell ref="G34:G35"/>
    <mergeCell ref="I34:I35"/>
    <mergeCell ref="L34:L35"/>
    <mergeCell ref="N34:N35"/>
    <mergeCell ref="R32:R33"/>
    <mergeCell ref="T32:T33"/>
    <mergeCell ref="X32:X33"/>
    <mergeCell ref="Y32:Y33"/>
    <mergeCell ref="AD32:AD33"/>
    <mergeCell ref="AF32:AF33"/>
    <mergeCell ref="A32:A33"/>
    <mergeCell ref="B32:B33"/>
    <mergeCell ref="G32:G33"/>
    <mergeCell ref="I32:I33"/>
    <mergeCell ref="L32:L33"/>
    <mergeCell ref="N32:N33"/>
    <mergeCell ref="R30:R31"/>
    <mergeCell ref="T30:T31"/>
    <mergeCell ref="X30:X31"/>
    <mergeCell ref="Y30:Y31"/>
    <mergeCell ref="AD30:AD31"/>
    <mergeCell ref="AF30:AF31"/>
    <mergeCell ref="A30:A31"/>
    <mergeCell ref="B30:B31"/>
    <mergeCell ref="G30:G31"/>
    <mergeCell ref="I30:I31"/>
    <mergeCell ref="L30:L31"/>
    <mergeCell ref="N30:N31"/>
    <mergeCell ref="R28:R29"/>
    <mergeCell ref="T28:T29"/>
    <mergeCell ref="X28:X29"/>
    <mergeCell ref="Y28:Y29"/>
    <mergeCell ref="AD28:AD29"/>
    <mergeCell ref="AF28:AF29"/>
    <mergeCell ref="A28:A29"/>
    <mergeCell ref="B28:B29"/>
    <mergeCell ref="G28:G29"/>
    <mergeCell ref="I28:I29"/>
    <mergeCell ref="L28:L29"/>
    <mergeCell ref="N28:N29"/>
    <mergeCell ref="R26:R27"/>
    <mergeCell ref="T26:T27"/>
    <mergeCell ref="X26:X27"/>
    <mergeCell ref="Y26:Y27"/>
    <mergeCell ref="AD26:AD27"/>
    <mergeCell ref="AF26:AF27"/>
    <mergeCell ref="A26:A27"/>
    <mergeCell ref="B26:B27"/>
    <mergeCell ref="G26:G27"/>
    <mergeCell ref="I26:I27"/>
    <mergeCell ref="L26:L27"/>
    <mergeCell ref="N26:N27"/>
    <mergeCell ref="R24:R25"/>
    <mergeCell ref="T24:T25"/>
    <mergeCell ref="X24:X25"/>
    <mergeCell ref="Y24:Y25"/>
    <mergeCell ref="AD24:AD25"/>
    <mergeCell ref="AF24:AF25"/>
    <mergeCell ref="A24:A25"/>
    <mergeCell ref="B24:B25"/>
    <mergeCell ref="G24:G25"/>
    <mergeCell ref="I24:I25"/>
    <mergeCell ref="L24:L25"/>
    <mergeCell ref="N24:N25"/>
    <mergeCell ref="Y22:Y23"/>
    <mergeCell ref="AD22:AD23"/>
    <mergeCell ref="AF22:AF23"/>
    <mergeCell ref="L22:L23"/>
    <mergeCell ref="M22:M23"/>
    <mergeCell ref="N22:N23"/>
    <mergeCell ref="O22:O23"/>
    <mergeCell ref="R22:R23"/>
    <mergeCell ref="S22:S23"/>
    <mergeCell ref="A22:A23"/>
    <mergeCell ref="B22:B23"/>
    <mergeCell ref="G22:G23"/>
    <mergeCell ref="H22:H23"/>
    <mergeCell ref="I22:I23"/>
    <mergeCell ref="J22:J23"/>
    <mergeCell ref="T20:T21"/>
    <mergeCell ref="U20:U21"/>
    <mergeCell ref="X20:X21"/>
    <mergeCell ref="A20:A21"/>
    <mergeCell ref="B20:B21"/>
    <mergeCell ref="G20:G21"/>
    <mergeCell ref="H20:H21"/>
    <mergeCell ref="I20:I21"/>
    <mergeCell ref="J20:J21"/>
    <mergeCell ref="T22:T23"/>
    <mergeCell ref="U22:U23"/>
    <mergeCell ref="X22:X23"/>
    <mergeCell ref="Y20:Y21"/>
    <mergeCell ref="AD20:AD21"/>
    <mergeCell ref="AF20:AF21"/>
    <mergeCell ref="L20:L21"/>
    <mergeCell ref="M20:M21"/>
    <mergeCell ref="N20:N21"/>
    <mergeCell ref="O20:O21"/>
    <mergeCell ref="R20:R21"/>
    <mergeCell ref="S20:S21"/>
    <mergeCell ref="Y18:Y19"/>
    <mergeCell ref="AD18:AD19"/>
    <mergeCell ref="AF18:AF19"/>
    <mergeCell ref="L18:L19"/>
    <mergeCell ref="M18:M19"/>
    <mergeCell ref="N18:N19"/>
    <mergeCell ref="O18:O19"/>
    <mergeCell ref="R18:R19"/>
    <mergeCell ref="S18:S19"/>
    <mergeCell ref="A18:A19"/>
    <mergeCell ref="B18:B19"/>
    <mergeCell ref="G18:G19"/>
    <mergeCell ref="H18:H19"/>
    <mergeCell ref="I18:I19"/>
    <mergeCell ref="J18:J19"/>
    <mergeCell ref="T16:T17"/>
    <mergeCell ref="U16:U17"/>
    <mergeCell ref="X16:X17"/>
    <mergeCell ref="A16:A17"/>
    <mergeCell ref="B16:B17"/>
    <mergeCell ref="G16:G17"/>
    <mergeCell ref="H16:H17"/>
    <mergeCell ref="I16:I17"/>
    <mergeCell ref="J16:J17"/>
    <mergeCell ref="T18:T19"/>
    <mergeCell ref="U18:U19"/>
    <mergeCell ref="X18:X19"/>
    <mergeCell ref="Y16:Y17"/>
    <mergeCell ref="AD16:AD17"/>
    <mergeCell ref="AF16:AF17"/>
    <mergeCell ref="L16:L17"/>
    <mergeCell ref="M16:M17"/>
    <mergeCell ref="N16:N17"/>
    <mergeCell ref="O16:O17"/>
    <mergeCell ref="R16:R17"/>
    <mergeCell ref="S16:S17"/>
    <mergeCell ref="Y14:Y15"/>
    <mergeCell ref="AD14:AD15"/>
    <mergeCell ref="AF14:AF15"/>
    <mergeCell ref="L14:L15"/>
    <mergeCell ref="M14:M15"/>
    <mergeCell ref="N14:N15"/>
    <mergeCell ref="O14:O15"/>
    <mergeCell ref="R14:R15"/>
    <mergeCell ref="S14:S15"/>
    <mergeCell ref="A14:A15"/>
    <mergeCell ref="B14:B15"/>
    <mergeCell ref="G14:G15"/>
    <mergeCell ref="H14:H15"/>
    <mergeCell ref="I14:I15"/>
    <mergeCell ref="J14:J15"/>
    <mergeCell ref="T12:T13"/>
    <mergeCell ref="U12:U13"/>
    <mergeCell ref="X12:X13"/>
    <mergeCell ref="A12:A13"/>
    <mergeCell ref="B12:B13"/>
    <mergeCell ref="G12:G13"/>
    <mergeCell ref="H12:H13"/>
    <mergeCell ref="I12:I13"/>
    <mergeCell ref="J12:J13"/>
    <mergeCell ref="T14:T15"/>
    <mergeCell ref="U14:U15"/>
    <mergeCell ref="X14:X15"/>
    <mergeCell ref="Y12:Y13"/>
    <mergeCell ref="AD12:AD13"/>
    <mergeCell ref="AF12:AF13"/>
    <mergeCell ref="L12:L13"/>
    <mergeCell ref="M12:M13"/>
    <mergeCell ref="N12:N13"/>
    <mergeCell ref="O12:O13"/>
    <mergeCell ref="R12:R13"/>
    <mergeCell ref="S12:S13"/>
    <mergeCell ref="Y10:Y11"/>
    <mergeCell ref="AD10:AD11"/>
    <mergeCell ref="AF10:AF11"/>
    <mergeCell ref="L10:L11"/>
    <mergeCell ref="M10:M11"/>
    <mergeCell ref="N10:N11"/>
    <mergeCell ref="O10:O11"/>
    <mergeCell ref="R10:R11"/>
    <mergeCell ref="S10:S11"/>
    <mergeCell ref="A10:A11"/>
    <mergeCell ref="B10:B11"/>
    <mergeCell ref="G10:G11"/>
    <mergeCell ref="H10:H11"/>
    <mergeCell ref="I10:I11"/>
    <mergeCell ref="J10:J11"/>
    <mergeCell ref="T8:T9"/>
    <mergeCell ref="U8:U9"/>
    <mergeCell ref="X8:X9"/>
    <mergeCell ref="A8:A9"/>
    <mergeCell ref="B8:B9"/>
    <mergeCell ref="G8:G9"/>
    <mergeCell ref="H8:H9"/>
    <mergeCell ref="I8:I9"/>
    <mergeCell ref="J8:J9"/>
    <mergeCell ref="T10:T11"/>
    <mergeCell ref="U10:U11"/>
    <mergeCell ref="X10:X11"/>
    <mergeCell ref="Y8:Y9"/>
    <mergeCell ref="AD8:AD9"/>
    <mergeCell ref="AF8:AF9"/>
    <mergeCell ref="L8:L9"/>
    <mergeCell ref="M8:M9"/>
    <mergeCell ref="N8:N9"/>
    <mergeCell ref="O8:O9"/>
    <mergeCell ref="R8:R9"/>
    <mergeCell ref="S8:S9"/>
    <mergeCell ref="Y6:Y7"/>
    <mergeCell ref="AD6:AD7"/>
    <mergeCell ref="AF6:AF7"/>
    <mergeCell ref="L6:L7"/>
    <mergeCell ref="M6:M7"/>
    <mergeCell ref="N6:N7"/>
    <mergeCell ref="O6:O7"/>
    <mergeCell ref="R6:R7"/>
    <mergeCell ref="S6:S7"/>
    <mergeCell ref="A6:A7"/>
    <mergeCell ref="B6:B7"/>
    <mergeCell ref="G6:G7"/>
    <mergeCell ref="H6:H7"/>
    <mergeCell ref="I6:I7"/>
    <mergeCell ref="J6:J7"/>
    <mergeCell ref="T4:T5"/>
    <mergeCell ref="U4:U5"/>
    <mergeCell ref="X4:X5"/>
    <mergeCell ref="T6:T7"/>
    <mergeCell ref="U6:U7"/>
    <mergeCell ref="X6:X7"/>
    <mergeCell ref="AD2:AD3"/>
    <mergeCell ref="AF2:AF3"/>
    <mergeCell ref="A4:A5"/>
    <mergeCell ref="B4:B5"/>
    <mergeCell ref="G4:G5"/>
    <mergeCell ref="H4:H5"/>
    <mergeCell ref="I4:I5"/>
    <mergeCell ref="J4:J5"/>
    <mergeCell ref="N2:N3"/>
    <mergeCell ref="R2:R3"/>
    <mergeCell ref="T2:T3"/>
    <mergeCell ref="X2:X3"/>
    <mergeCell ref="Y2:Z3"/>
    <mergeCell ref="AA2:AA3"/>
    <mergeCell ref="Y4:Y5"/>
    <mergeCell ref="AD4:AD5"/>
    <mergeCell ref="AF4:AF5"/>
    <mergeCell ref="L4:L5"/>
    <mergeCell ref="M4:M5"/>
    <mergeCell ref="N4:N5"/>
    <mergeCell ref="O4:O5"/>
    <mergeCell ref="R4:R5"/>
    <mergeCell ref="S4:S5"/>
    <mergeCell ref="B1:F1"/>
    <mergeCell ref="Y1:AC1"/>
    <mergeCell ref="A2:A3"/>
    <mergeCell ref="B2:C3"/>
    <mergeCell ref="D2:D3"/>
    <mergeCell ref="E2:E3"/>
    <mergeCell ref="F2:F3"/>
    <mergeCell ref="G2:G3"/>
    <mergeCell ref="I2:I3"/>
    <mergeCell ref="L2:L3"/>
    <mergeCell ref="AB2:AB3"/>
    <mergeCell ref="AC2:AC3"/>
  </mergeCells>
  <pageMargins left="0.7" right="0.7" top="0.75" bottom="0.75" header="0.3" footer="0.3"/>
  <pageSetup paperSize="9" orientation="portrait" r:id="rId1"/>
  <drawing r:id="rId2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E4:AF67"/>
  <sheetViews>
    <sheetView topLeftCell="E43" workbookViewId="0">
      <selection activeCell="U26" sqref="U26"/>
    </sheetView>
  </sheetViews>
  <sheetFormatPr defaultColWidth="9.140625" defaultRowHeight="15" x14ac:dyDescent="0.25"/>
  <cols>
    <col min="8" max="8" width="42.140625" bestFit="1" customWidth="1"/>
    <col min="9" max="9" width="17.42578125" customWidth="1"/>
    <col min="10" max="10" width="13" customWidth="1"/>
    <col min="11" max="11" width="14.140625" customWidth="1"/>
    <col min="12" max="12" width="12" customWidth="1"/>
    <col min="20" max="20" width="12" bestFit="1" customWidth="1"/>
  </cols>
  <sheetData>
    <row r="4" spans="6:30" ht="15.75" thickBot="1" x14ac:dyDescent="0.3">
      <c r="H4" s="1220" t="s">
        <v>305</v>
      </c>
      <c r="I4" s="1220"/>
      <c r="J4" s="1220"/>
      <c r="K4" s="1220"/>
      <c r="L4" s="1220"/>
    </row>
    <row r="5" spans="6:30" ht="57.75" thickBot="1" x14ac:dyDescent="0.3">
      <c r="F5" t="s">
        <v>750</v>
      </c>
      <c r="G5" s="147" t="s">
        <v>751</v>
      </c>
      <c r="H5" s="816" t="s">
        <v>752</v>
      </c>
      <c r="I5" s="817" t="s">
        <v>753</v>
      </c>
      <c r="J5" s="818" t="s">
        <v>754</v>
      </c>
      <c r="K5" s="819" t="s">
        <v>755</v>
      </c>
      <c r="L5" s="820" t="s">
        <v>311</v>
      </c>
    </row>
    <row r="6" spans="6:30" x14ac:dyDescent="0.25">
      <c r="F6" s="821">
        <v>360453.45311726001</v>
      </c>
      <c r="G6" s="822">
        <f t="shared" ref="G6:G13" si="0">J6/F6*100-100</f>
        <v>-5.1064965415304613</v>
      </c>
      <c r="H6" s="319" t="s">
        <v>110</v>
      </c>
      <c r="I6" s="823">
        <f>K6/K13*100</f>
        <v>55.288091229000813</v>
      </c>
      <c r="J6" s="821">
        <v>342046.91000000003</v>
      </c>
      <c r="K6" s="821">
        <v>412735</v>
      </c>
      <c r="L6" s="822">
        <f t="shared" ref="L6:L13" si="1">K6/J6*100-100</f>
        <v>20.666197510744951</v>
      </c>
      <c r="M6" s="27">
        <f>L6-G6</f>
        <v>25.772694052275412</v>
      </c>
      <c r="O6" s="1115" t="s">
        <v>756</v>
      </c>
      <c r="P6" s="1115"/>
      <c r="Q6" s="1115"/>
      <c r="R6" s="1115"/>
      <c r="S6" s="1115"/>
      <c r="T6" s="1115"/>
      <c r="U6" s="1115"/>
      <c r="V6" s="1115"/>
      <c r="W6" s="1115"/>
      <c r="X6" s="1115"/>
      <c r="Y6" s="1115"/>
      <c r="Z6" s="1115"/>
      <c r="AA6" s="1115"/>
      <c r="AB6" s="1115"/>
      <c r="AC6" s="1115"/>
      <c r="AD6" s="1115"/>
    </row>
    <row r="7" spans="6:30" x14ac:dyDescent="0.25">
      <c r="F7" s="824">
        <v>167592.42580311091</v>
      </c>
      <c r="G7" s="822">
        <f t="shared" si="0"/>
        <v>2.2183366456290514</v>
      </c>
      <c r="H7" s="322" t="s">
        <v>315</v>
      </c>
      <c r="I7" s="825">
        <f>K7/K13*100</f>
        <v>27.20674813835452</v>
      </c>
      <c r="J7" s="824">
        <v>171310.19</v>
      </c>
      <c r="K7" s="824">
        <v>203103</v>
      </c>
      <c r="L7" s="826">
        <f t="shared" si="1"/>
        <v>18.558621644164887</v>
      </c>
      <c r="O7" s="1115"/>
      <c r="P7" s="1115"/>
      <c r="Q7" s="1115"/>
      <c r="R7" s="1115"/>
      <c r="S7" s="1115"/>
      <c r="T7" s="1115"/>
      <c r="U7" s="1115"/>
      <c r="V7" s="1115"/>
      <c r="W7" s="1115"/>
      <c r="X7" s="1115"/>
      <c r="Y7" s="1115"/>
      <c r="Z7" s="1115"/>
      <c r="AA7" s="1115"/>
      <c r="AB7" s="1115"/>
      <c r="AC7" s="1115"/>
      <c r="AD7" s="1115"/>
    </row>
    <row r="8" spans="6:30" x14ac:dyDescent="0.25">
      <c r="F8" s="827">
        <v>44590.029825999998</v>
      </c>
      <c r="G8" s="822">
        <f t="shared" si="0"/>
        <v>2.1841657828004344</v>
      </c>
      <c r="H8" s="332" t="s">
        <v>316</v>
      </c>
      <c r="I8" s="828" t="s">
        <v>685</v>
      </c>
      <c r="J8" s="827">
        <v>45563.95</v>
      </c>
      <c r="K8" s="827">
        <v>58585</v>
      </c>
      <c r="L8" s="829">
        <f t="shared" si="1"/>
        <v>28.57752675086337</v>
      </c>
      <c r="O8" s="1115"/>
      <c r="P8" s="1115"/>
      <c r="Q8" s="1115"/>
      <c r="R8" s="1115"/>
      <c r="S8" s="1115"/>
      <c r="T8" s="1115"/>
      <c r="U8" s="1115"/>
      <c r="V8" s="1115"/>
      <c r="W8" s="1115"/>
      <c r="X8" s="1115"/>
      <c r="Y8" s="1115"/>
      <c r="Z8" s="1115"/>
      <c r="AA8" s="1115"/>
      <c r="AB8" s="1115"/>
      <c r="AC8" s="1115"/>
      <c r="AD8" s="1115"/>
    </row>
    <row r="9" spans="6:30" x14ac:dyDescent="0.25">
      <c r="F9" s="827">
        <v>42111.973127000005</v>
      </c>
      <c r="G9" s="822">
        <f t="shared" si="0"/>
        <v>17.346888142641632</v>
      </c>
      <c r="H9" s="341" t="s">
        <v>255</v>
      </c>
      <c r="I9" s="828" t="s">
        <v>685</v>
      </c>
      <c r="J9" s="827">
        <v>49417.09</v>
      </c>
      <c r="K9" s="827">
        <v>54011</v>
      </c>
      <c r="L9" s="829">
        <f t="shared" si="1"/>
        <v>9.2961969229673542</v>
      </c>
      <c r="O9" s="1115"/>
      <c r="P9" s="1115"/>
      <c r="Q9" s="1115"/>
      <c r="R9" s="1115"/>
      <c r="S9" s="1115"/>
      <c r="T9" s="1115"/>
      <c r="U9" s="1115"/>
      <c r="V9" s="1115"/>
      <c r="W9" s="1115"/>
      <c r="X9" s="1115"/>
      <c r="Y9" s="1115"/>
      <c r="Z9" s="1115"/>
      <c r="AA9" s="1115"/>
      <c r="AB9" s="1115"/>
      <c r="AC9" s="1115"/>
      <c r="AD9" s="1115"/>
    </row>
    <row r="10" spans="6:30" x14ac:dyDescent="0.25">
      <c r="F10" s="827">
        <v>64204.754957110898</v>
      </c>
      <c r="G10" s="822">
        <f t="shared" si="0"/>
        <v>-4.3414930233328164</v>
      </c>
      <c r="H10" s="341" t="s">
        <v>257</v>
      </c>
      <c r="I10" s="828" t="s">
        <v>685</v>
      </c>
      <c r="J10" s="827">
        <v>61417.31</v>
      </c>
      <c r="K10" s="827">
        <v>72190</v>
      </c>
      <c r="L10" s="829">
        <f t="shared" si="1"/>
        <v>17.540152768006294</v>
      </c>
      <c r="O10" s="1115"/>
      <c r="P10" s="1115"/>
      <c r="Q10" s="1115"/>
      <c r="R10" s="1115"/>
      <c r="S10" s="1115"/>
      <c r="T10" s="1115"/>
      <c r="U10" s="1115"/>
      <c r="V10" s="1115"/>
      <c r="W10" s="1115"/>
      <c r="X10" s="1115"/>
      <c r="Y10" s="1115"/>
      <c r="Z10" s="1115"/>
      <c r="AA10" s="1115"/>
      <c r="AB10" s="1115"/>
      <c r="AC10" s="1115"/>
      <c r="AD10" s="1115"/>
    </row>
    <row r="11" spans="6:30" x14ac:dyDescent="0.25">
      <c r="F11" s="824">
        <v>37779.119151999999</v>
      </c>
      <c r="G11" s="822">
        <f t="shared" si="0"/>
        <v>-7.8262522217738706</v>
      </c>
      <c r="H11" s="322" t="s">
        <v>229</v>
      </c>
      <c r="I11" s="825">
        <f>K11/K13*100</f>
        <v>4.902768456712975</v>
      </c>
      <c r="J11" s="824">
        <v>34822.43</v>
      </c>
      <c r="K11" s="824">
        <v>36600</v>
      </c>
      <c r="L11" s="826">
        <f t="shared" si="1"/>
        <v>5.1046696051941183</v>
      </c>
      <c r="O11" s="1115"/>
      <c r="P11" s="1115"/>
      <c r="Q11" s="1115"/>
      <c r="R11" s="1115"/>
      <c r="S11" s="1115"/>
      <c r="T11" s="1115"/>
      <c r="U11" s="1115"/>
      <c r="V11" s="1115"/>
      <c r="W11" s="1115"/>
      <c r="X11" s="1115"/>
      <c r="Y11" s="1115"/>
      <c r="Z11" s="1115"/>
      <c r="AA11" s="1115"/>
      <c r="AB11" s="1115"/>
      <c r="AC11" s="1115"/>
      <c r="AD11" s="1115"/>
    </row>
    <row r="12" spans="6:30" x14ac:dyDescent="0.25">
      <c r="F12" s="824">
        <v>78899.624016999995</v>
      </c>
      <c r="G12" s="822">
        <f t="shared" si="0"/>
        <v>-2.2208775248693797</v>
      </c>
      <c r="H12" s="322" t="s">
        <v>115</v>
      </c>
      <c r="I12" s="825">
        <f>K12/K13*100</f>
        <v>12.602392175931692</v>
      </c>
      <c r="J12" s="824">
        <v>77147.360000000001</v>
      </c>
      <c r="K12" s="824">
        <v>94079</v>
      </c>
      <c r="L12" s="826">
        <f t="shared" si="1"/>
        <v>21.947141159464167</v>
      </c>
      <c r="O12" s="1115"/>
      <c r="P12" s="1115"/>
      <c r="Q12" s="1115"/>
      <c r="R12" s="1115"/>
      <c r="S12" s="1115"/>
      <c r="T12" s="1115"/>
      <c r="U12" s="1115"/>
      <c r="V12" s="1115"/>
      <c r="W12" s="1115"/>
      <c r="X12" s="1115"/>
      <c r="Y12" s="1115"/>
      <c r="Z12" s="1115"/>
      <c r="AA12" s="1115"/>
      <c r="AB12" s="1115"/>
      <c r="AC12" s="1115"/>
      <c r="AD12" s="1115"/>
    </row>
    <row r="13" spans="6:30" ht="15.75" thickBot="1" x14ac:dyDescent="0.3">
      <c r="F13" s="830">
        <v>644724.62208937097</v>
      </c>
      <c r="G13" s="822">
        <f t="shared" si="0"/>
        <v>-3.0086833083105091</v>
      </c>
      <c r="H13" s="349" t="s">
        <v>116</v>
      </c>
      <c r="I13" s="831">
        <f>K13/K13*100</f>
        <v>100</v>
      </c>
      <c r="J13" s="830">
        <v>625326.9</v>
      </c>
      <c r="K13" s="830">
        <v>746517</v>
      </c>
      <c r="L13" s="832">
        <f t="shared" si="1"/>
        <v>19.380279338694677</v>
      </c>
      <c r="O13" s="1115"/>
      <c r="P13" s="1115"/>
      <c r="Q13" s="1115"/>
      <c r="R13" s="1115"/>
      <c r="S13" s="1115"/>
      <c r="T13" s="1115"/>
      <c r="U13" s="1115"/>
      <c r="V13" s="1115"/>
      <c r="W13" s="1115"/>
      <c r="X13" s="1115"/>
      <c r="Y13" s="1115"/>
      <c r="Z13" s="1115"/>
      <c r="AA13" s="1115"/>
      <c r="AB13" s="1115"/>
      <c r="AC13" s="1115"/>
      <c r="AD13" s="1115"/>
    </row>
    <row r="14" spans="6:30" x14ac:dyDescent="0.25">
      <c r="H14" s="833"/>
      <c r="I14" s="834"/>
      <c r="J14" s="835"/>
      <c r="K14" s="835"/>
      <c r="L14" s="836"/>
    </row>
    <row r="16" spans="6:30" ht="15.75" thickBot="1" x14ac:dyDescent="0.3">
      <c r="H16" s="1220" t="s">
        <v>305</v>
      </c>
      <c r="I16" s="1220"/>
      <c r="J16" s="1220"/>
      <c r="K16" s="1220"/>
      <c r="L16" s="1220"/>
    </row>
    <row r="17" spans="5:20" ht="57.75" thickBot="1" x14ac:dyDescent="0.3">
      <c r="F17" t="s">
        <v>750</v>
      </c>
      <c r="G17" s="147" t="s">
        <v>751</v>
      </c>
      <c r="H17" s="837" t="s">
        <v>757</v>
      </c>
      <c r="I17" s="838" t="s">
        <v>753</v>
      </c>
      <c r="J17" s="839" t="s">
        <v>754</v>
      </c>
      <c r="K17" s="840" t="s">
        <v>755</v>
      </c>
      <c r="L17" s="841" t="s">
        <v>311</v>
      </c>
      <c r="M17" s="842" t="s">
        <v>758</v>
      </c>
      <c r="N17" s="842" t="s">
        <v>759</v>
      </c>
    </row>
    <row r="18" spans="5:20" x14ac:dyDescent="0.25">
      <c r="E18" s="823"/>
      <c r="F18" s="821">
        <v>50372.065144480002</v>
      </c>
      <c r="G18" s="823">
        <f t="shared" ref="G18:G30" si="2">J18/F18*100-100</f>
        <v>31.516247765473423</v>
      </c>
      <c r="H18" s="319" t="s">
        <v>296</v>
      </c>
      <c r="I18" s="823">
        <f>K18/K32*100</f>
        <v>11.870820874491734</v>
      </c>
      <c r="J18" s="821">
        <v>66247.45</v>
      </c>
      <c r="K18" s="821">
        <v>64870</v>
      </c>
      <c r="L18" s="822">
        <f t="shared" ref="L18:L32" si="3">K18/J18*100-100</f>
        <v>-2.0792498428241402</v>
      </c>
      <c r="M18" s="27">
        <v>31.516247765473423</v>
      </c>
      <c r="N18" s="27">
        <f>J18/J32*100</f>
        <v>13.430665105851801</v>
      </c>
    </row>
    <row r="19" spans="5:20" x14ac:dyDescent="0.25">
      <c r="E19" s="823"/>
      <c r="F19" s="821">
        <v>31321.438039970002</v>
      </c>
      <c r="G19" s="823">
        <f t="shared" si="2"/>
        <v>30.708047145715312</v>
      </c>
      <c r="H19" s="322" t="s">
        <v>295</v>
      </c>
      <c r="I19" s="823">
        <f>K19/K32*100</f>
        <v>9.5358174159051075</v>
      </c>
      <c r="J19" s="824">
        <v>40939.64</v>
      </c>
      <c r="K19" s="824">
        <v>52110</v>
      </c>
      <c r="L19" s="826">
        <f t="shared" si="3"/>
        <v>27.284949257003731</v>
      </c>
      <c r="M19" s="27">
        <v>30.708047145715312</v>
      </c>
      <c r="N19" s="27">
        <f>J19/J32*100</f>
        <v>8.2998907036291154</v>
      </c>
    </row>
    <row r="20" spans="5:20" x14ac:dyDescent="0.25">
      <c r="E20" s="823"/>
      <c r="F20" s="821">
        <v>20885.684072</v>
      </c>
      <c r="G20" s="823">
        <f t="shared" si="2"/>
        <v>-64.153340756326656</v>
      </c>
      <c r="H20" s="322" t="s">
        <v>124</v>
      </c>
      <c r="I20" s="823">
        <f>K20/K32*100</f>
        <v>1.4099687812233515</v>
      </c>
      <c r="J20" s="824">
        <v>7486.82</v>
      </c>
      <c r="K20" s="824">
        <v>7705</v>
      </c>
      <c r="L20" s="826">
        <f t="shared" si="3"/>
        <v>2.9141878661434362</v>
      </c>
      <c r="M20" s="27">
        <v>-64.153340756326656</v>
      </c>
      <c r="N20" s="27">
        <f>J20/J32*100</f>
        <v>1.5178391338503354</v>
      </c>
    </row>
    <row r="21" spans="5:20" x14ac:dyDescent="0.25">
      <c r="E21" s="823"/>
      <c r="F21" s="821">
        <v>4335.4334169999993</v>
      </c>
      <c r="G21" s="823">
        <f t="shared" si="2"/>
        <v>-2.2780517540121821</v>
      </c>
      <c r="H21" s="322" t="s">
        <v>125</v>
      </c>
      <c r="I21" s="823">
        <f>K21/K32*100</f>
        <v>0.28620261827817284</v>
      </c>
      <c r="J21" s="824">
        <v>4236.67</v>
      </c>
      <c r="K21" s="824">
        <v>1564</v>
      </c>
      <c r="L21" s="826">
        <f t="shared" si="3"/>
        <v>-63.084214725244117</v>
      </c>
      <c r="M21" s="27">
        <v>-2.2780517540121821</v>
      </c>
      <c r="N21" s="27">
        <f>J21/J32*100</f>
        <v>0.85892054613436686</v>
      </c>
    </row>
    <row r="22" spans="5:20" x14ac:dyDescent="0.25">
      <c r="E22" s="823"/>
      <c r="F22" s="821">
        <v>72157.054459000006</v>
      </c>
      <c r="G22" s="823">
        <f t="shared" si="2"/>
        <v>-5.3145385267617371</v>
      </c>
      <c r="H22" s="322" t="s">
        <v>126</v>
      </c>
      <c r="I22" s="823">
        <f>K22/K32*100</f>
        <v>12.543323829844857</v>
      </c>
      <c r="J22" s="843">
        <v>68322.240000000005</v>
      </c>
      <c r="K22" s="843">
        <v>68545</v>
      </c>
      <c r="L22" s="826">
        <f t="shared" si="3"/>
        <v>0.32604317422845952</v>
      </c>
      <c r="M22" s="27">
        <v>-5.3145385267617371</v>
      </c>
      <c r="N22" s="27">
        <f>J22/J32*100</f>
        <v>13.851297291014708</v>
      </c>
    </row>
    <row r="23" spans="5:20" x14ac:dyDescent="0.25">
      <c r="E23" s="823"/>
      <c r="F23" s="821">
        <v>5360.075073</v>
      </c>
      <c r="G23" s="823">
        <f t="shared" si="2"/>
        <v>91.02344389869333</v>
      </c>
      <c r="H23" s="322" t="s">
        <v>127</v>
      </c>
      <c r="I23" s="823">
        <f>K23/K32*100</f>
        <v>4.0948567705950598</v>
      </c>
      <c r="J23" s="824">
        <v>10239</v>
      </c>
      <c r="K23" s="824">
        <v>22377</v>
      </c>
      <c r="L23" s="826">
        <f t="shared" si="3"/>
        <v>118.54673307940229</v>
      </c>
      <c r="M23" s="27">
        <v>91.02344389869333</v>
      </c>
      <c r="N23" s="27">
        <f>J23/J32*100</f>
        <v>2.0758018613368003</v>
      </c>
    </row>
    <row r="24" spans="5:20" x14ac:dyDescent="0.25">
      <c r="E24" s="823"/>
      <c r="F24" s="821">
        <v>12693.227386999999</v>
      </c>
      <c r="G24" s="823">
        <f t="shared" si="2"/>
        <v>60.004381713043017</v>
      </c>
      <c r="H24" s="322" t="s">
        <v>128</v>
      </c>
      <c r="I24" s="823">
        <f>K24/K32*100</f>
        <v>3.7566838559032032</v>
      </c>
      <c r="J24" s="824">
        <v>20309.719999999998</v>
      </c>
      <c r="K24" s="824">
        <v>20529</v>
      </c>
      <c r="L24" s="826">
        <f t="shared" si="3"/>
        <v>1.0796800743683406</v>
      </c>
      <c r="M24" s="27">
        <v>60.004381713043017</v>
      </c>
      <c r="N24" s="27">
        <f>J24/J32*100</f>
        <v>4.117487506517163</v>
      </c>
    </row>
    <row r="25" spans="5:20" x14ac:dyDescent="0.25">
      <c r="E25" s="823"/>
      <c r="F25" s="821">
        <v>34247.558621999997</v>
      </c>
      <c r="G25" s="823">
        <f t="shared" si="2"/>
        <v>13.387060457660908</v>
      </c>
      <c r="H25" s="322" t="s">
        <v>129</v>
      </c>
      <c r="I25" s="823">
        <f>K25/K32*100</f>
        <v>7.2579080857729492</v>
      </c>
      <c r="J25" s="824">
        <v>38832.300000000003</v>
      </c>
      <c r="K25" s="824">
        <v>39662</v>
      </c>
      <c r="L25" s="826">
        <f t="shared" si="3"/>
        <v>2.136623377961115</v>
      </c>
      <c r="M25" s="27">
        <v>13.387060457660908</v>
      </c>
      <c r="N25" s="27">
        <f>J25/J32*100</f>
        <v>7.8726594999500961</v>
      </c>
    </row>
    <row r="26" spans="5:20" x14ac:dyDescent="0.25">
      <c r="E26" s="823"/>
      <c r="F26" s="821">
        <v>14180.869292000001</v>
      </c>
      <c r="G26" s="823">
        <f t="shared" si="2"/>
        <v>13.273591831650862</v>
      </c>
      <c r="H26" s="322" t="s">
        <v>130</v>
      </c>
      <c r="I26" s="823">
        <f>K26/K32*100</f>
        <v>2.6371265549915273</v>
      </c>
      <c r="J26" s="824">
        <v>16063.18</v>
      </c>
      <c r="K26" s="824">
        <v>14411</v>
      </c>
      <c r="L26" s="826">
        <f t="shared" si="3"/>
        <v>-10.285510092024126</v>
      </c>
      <c r="M26" s="27">
        <v>13.273591831650862</v>
      </c>
      <c r="N26" s="27">
        <f>J26/J32*100</f>
        <v>3.2565659676714591</v>
      </c>
    </row>
    <row r="27" spans="5:20" x14ac:dyDescent="0.25">
      <c r="E27" s="823"/>
      <c r="F27" s="821">
        <v>13507.361550000001</v>
      </c>
      <c r="G27" s="823">
        <f t="shared" si="2"/>
        <v>14.285828086092806</v>
      </c>
      <c r="H27" s="322" t="s">
        <v>131</v>
      </c>
      <c r="I27" s="823">
        <f>K27/K32*100</f>
        <v>2.7072132575494177</v>
      </c>
      <c r="J27" s="824">
        <v>15437</v>
      </c>
      <c r="K27" s="824">
        <v>14794</v>
      </c>
      <c r="L27" s="826">
        <f t="shared" si="3"/>
        <v>-4.1653170952905327</v>
      </c>
      <c r="M27" s="27">
        <v>14.285828086092806</v>
      </c>
      <c r="N27" s="27">
        <f>J27/J32*100</f>
        <v>3.1296174756769402</v>
      </c>
      <c r="T27" s="1"/>
    </row>
    <row r="28" spans="5:20" x14ac:dyDescent="0.25">
      <c r="E28" s="823"/>
      <c r="F28" s="821">
        <v>3087.9330980000004</v>
      </c>
      <c r="G28" s="823">
        <f t="shared" si="2"/>
        <v>-18.910160274463323</v>
      </c>
      <c r="H28" s="322" t="s">
        <v>132</v>
      </c>
      <c r="I28" s="823">
        <f>K28/K32*100</f>
        <v>0.49701170795621319</v>
      </c>
      <c r="J28" s="824">
        <v>2504</v>
      </c>
      <c r="K28" s="824">
        <v>2716</v>
      </c>
      <c r="L28" s="826">
        <f t="shared" si="3"/>
        <v>8.4664536741213965</v>
      </c>
      <c r="M28" s="27">
        <v>-18.910160274463323</v>
      </c>
      <c r="N28" s="27">
        <f>J28/J32*100</f>
        <v>0.50764799890490753</v>
      </c>
      <c r="T28" s="1"/>
    </row>
    <row r="29" spans="5:20" x14ac:dyDescent="0.25">
      <c r="E29" s="823"/>
      <c r="F29" s="821">
        <v>17621.767544000002</v>
      </c>
      <c r="G29" s="823">
        <f t="shared" si="2"/>
        <v>2.4284309444639405</v>
      </c>
      <c r="H29" s="322" t="s">
        <v>133</v>
      </c>
      <c r="I29" s="823">
        <f>K29/K32*100</f>
        <v>4.5358723141055437</v>
      </c>
      <c r="J29" s="824">
        <v>18049.7</v>
      </c>
      <c r="K29" s="824">
        <v>24787</v>
      </c>
      <c r="L29" s="826">
        <f t="shared" si="3"/>
        <v>37.326382155936102</v>
      </c>
      <c r="M29" s="27">
        <v>2.4284309444639405</v>
      </c>
      <c r="N29" s="27">
        <f>J29/J32*100</f>
        <v>3.6593027499336706</v>
      </c>
      <c r="T29" s="1"/>
    </row>
    <row r="30" spans="5:20" x14ac:dyDescent="0.25">
      <c r="E30" s="823"/>
      <c r="F30" s="821">
        <v>6487.4870000000001</v>
      </c>
      <c r="G30" s="823">
        <f t="shared" si="2"/>
        <v>-60.369862783540071</v>
      </c>
      <c r="H30" s="322" t="s">
        <v>134</v>
      </c>
      <c r="I30" s="823">
        <f>K30/K32*100</f>
        <v>0.53397649625045296</v>
      </c>
      <c r="J30" s="824">
        <v>2571</v>
      </c>
      <c r="K30" s="824">
        <v>2918</v>
      </c>
      <c r="L30" s="826">
        <f t="shared" si="3"/>
        <v>13.496693893426695</v>
      </c>
      <c r="M30" s="27">
        <v>-60.369862783540071</v>
      </c>
      <c r="N30" s="27">
        <f>J30/J32*100</f>
        <v>0.52123123210244304</v>
      </c>
      <c r="T30" s="1"/>
    </row>
    <row r="31" spans="5:20" x14ac:dyDescent="0.25">
      <c r="F31" s="844" t="s">
        <v>685</v>
      </c>
      <c r="H31" s="322" t="s">
        <v>136</v>
      </c>
      <c r="I31" s="823">
        <f>K31/K32*100</f>
        <v>38.333034443130956</v>
      </c>
      <c r="J31" s="824">
        <v>182016.44</v>
      </c>
      <c r="K31" s="824">
        <v>209477</v>
      </c>
      <c r="L31" s="826">
        <f t="shared" si="3"/>
        <v>15.086856989401625</v>
      </c>
      <c r="N31" s="27">
        <f>J31/J32*100</f>
        <v>36.90107090007794</v>
      </c>
      <c r="T31" s="1"/>
    </row>
    <row r="32" spans="5:20" ht="15.75" thickBot="1" x14ac:dyDescent="0.3">
      <c r="F32" s="821">
        <v>428513.13104553096</v>
      </c>
      <c r="H32" s="349" t="s">
        <v>137</v>
      </c>
      <c r="I32" s="845">
        <f>SUM(I18:I31)</f>
        <v>99.999817005998551</v>
      </c>
      <c r="J32" s="830">
        <v>493255.17000000004</v>
      </c>
      <c r="K32" s="830">
        <v>546466</v>
      </c>
      <c r="L32" s="832">
        <f t="shared" si="3"/>
        <v>10.787688246633081</v>
      </c>
      <c r="T32" s="1"/>
    </row>
    <row r="33" spans="8:20" x14ac:dyDescent="0.25">
      <c r="T33" s="1"/>
    </row>
    <row r="34" spans="8:20" x14ac:dyDescent="0.25">
      <c r="I34" s="846">
        <v>2018</v>
      </c>
      <c r="L34" s="846">
        <v>2019</v>
      </c>
      <c r="T34" s="1"/>
    </row>
    <row r="35" spans="8:20" x14ac:dyDescent="0.25">
      <c r="H35" s="847" t="s">
        <v>760</v>
      </c>
      <c r="I35" s="847" t="s">
        <v>761</v>
      </c>
      <c r="K35" s="847" t="s">
        <v>760</v>
      </c>
      <c r="L35" s="847" t="s">
        <v>761</v>
      </c>
      <c r="T35" s="1"/>
    </row>
    <row r="36" spans="8:20" x14ac:dyDescent="0.25">
      <c r="H36" s="319" t="s">
        <v>136</v>
      </c>
      <c r="I36" s="823">
        <v>36.90107090007794</v>
      </c>
      <c r="K36" t="s">
        <v>136</v>
      </c>
      <c r="L36" s="823">
        <v>38.333034443130956</v>
      </c>
      <c r="T36" s="1"/>
    </row>
    <row r="37" spans="8:20" x14ac:dyDescent="0.25">
      <c r="H37" s="322" t="s">
        <v>126</v>
      </c>
      <c r="I37" s="823">
        <v>13.851297291014708</v>
      </c>
      <c r="K37" t="s">
        <v>126</v>
      </c>
      <c r="L37" s="823">
        <v>12.543323829844857</v>
      </c>
      <c r="T37" s="1"/>
    </row>
    <row r="38" spans="8:20" x14ac:dyDescent="0.25">
      <c r="H38" s="322" t="s">
        <v>296</v>
      </c>
      <c r="I38" s="823">
        <v>13.430665105851801</v>
      </c>
      <c r="K38" t="s">
        <v>296</v>
      </c>
      <c r="L38" s="823">
        <v>11.870820874491734</v>
      </c>
      <c r="T38" s="1"/>
    </row>
    <row r="39" spans="8:20" x14ac:dyDescent="0.25">
      <c r="H39" s="322" t="s">
        <v>295</v>
      </c>
      <c r="I39" s="823">
        <v>8.2998907036291154</v>
      </c>
      <c r="K39" t="s">
        <v>295</v>
      </c>
      <c r="L39" s="823">
        <v>9.5358174159051075</v>
      </c>
      <c r="T39" s="106"/>
    </row>
    <row r="40" spans="8:20" x14ac:dyDescent="0.25">
      <c r="H40" s="322" t="s">
        <v>129</v>
      </c>
      <c r="I40" s="823">
        <v>7.8726594999500961</v>
      </c>
      <c r="K40" t="s">
        <v>129</v>
      </c>
      <c r="L40" s="823">
        <v>7.2579080857729492</v>
      </c>
    </row>
    <row r="41" spans="8:20" x14ac:dyDescent="0.25">
      <c r="H41" s="322" t="s">
        <v>128</v>
      </c>
      <c r="I41" s="823">
        <v>4.117487506517163</v>
      </c>
      <c r="K41" t="s">
        <v>133</v>
      </c>
      <c r="L41" s="823">
        <v>4.5358723141055437</v>
      </c>
    </row>
    <row r="42" spans="8:20" x14ac:dyDescent="0.25">
      <c r="H42" s="322" t="s">
        <v>133</v>
      </c>
      <c r="I42" s="823">
        <v>3.6593027499336706</v>
      </c>
      <c r="K42" t="s">
        <v>127</v>
      </c>
      <c r="L42" s="823">
        <v>4.0948567705950598</v>
      </c>
    </row>
    <row r="43" spans="8:20" x14ac:dyDescent="0.25">
      <c r="H43" s="322" t="s">
        <v>130</v>
      </c>
      <c r="I43" s="823">
        <v>3.2565659676714591</v>
      </c>
      <c r="K43" t="s">
        <v>128</v>
      </c>
      <c r="L43" s="823">
        <v>3.7566838559032032</v>
      </c>
    </row>
    <row r="44" spans="8:20" x14ac:dyDescent="0.25">
      <c r="H44" s="322" t="s">
        <v>131</v>
      </c>
      <c r="I44" s="823">
        <v>3.1296174756769402</v>
      </c>
      <c r="K44" t="s">
        <v>131</v>
      </c>
      <c r="L44" s="823">
        <v>2.7072132575494177</v>
      </c>
    </row>
    <row r="45" spans="8:20" x14ac:dyDescent="0.25">
      <c r="H45" s="322" t="s">
        <v>127</v>
      </c>
      <c r="I45" s="823">
        <v>2.0758018613368003</v>
      </c>
      <c r="K45" t="s">
        <v>130</v>
      </c>
      <c r="L45" s="823">
        <v>2.6371265549915273</v>
      </c>
    </row>
    <row r="46" spans="8:20" x14ac:dyDescent="0.25">
      <c r="H46" s="322" t="s">
        <v>124</v>
      </c>
      <c r="I46" s="823">
        <v>1.5178391338503354</v>
      </c>
      <c r="K46" t="s">
        <v>124</v>
      </c>
      <c r="L46" s="823">
        <v>1.4099687812233515</v>
      </c>
    </row>
    <row r="47" spans="8:20" x14ac:dyDescent="0.25">
      <c r="H47" s="322" t="s">
        <v>125</v>
      </c>
      <c r="I47" s="823">
        <v>0.85892054613436686</v>
      </c>
      <c r="K47" t="s">
        <v>134</v>
      </c>
      <c r="L47" s="823">
        <v>0.53397649625045296</v>
      </c>
    </row>
    <row r="48" spans="8:20" x14ac:dyDescent="0.25">
      <c r="H48" s="322" t="s">
        <v>134</v>
      </c>
      <c r="I48" s="823">
        <v>0.52123123210244304</v>
      </c>
      <c r="K48" t="s">
        <v>132</v>
      </c>
      <c r="L48" s="823">
        <v>0.49701170795621319</v>
      </c>
    </row>
    <row r="49" spans="8:32" x14ac:dyDescent="0.25">
      <c r="H49" s="322" t="s">
        <v>132</v>
      </c>
      <c r="I49" s="823">
        <v>0.50764799890490753</v>
      </c>
      <c r="K49" t="s">
        <v>125</v>
      </c>
      <c r="L49" s="823">
        <v>0.28620261827817284</v>
      </c>
    </row>
    <row r="52" spans="8:32" x14ac:dyDescent="0.25">
      <c r="I52" s="846">
        <v>2018</v>
      </c>
      <c r="L52" s="846">
        <v>2019</v>
      </c>
      <c r="Q52" s="1115" t="s">
        <v>762</v>
      </c>
      <c r="R52" s="1115"/>
      <c r="S52" s="1115"/>
      <c r="T52" s="1115"/>
      <c r="U52" s="1115"/>
      <c r="V52" s="1115"/>
      <c r="W52" s="1115"/>
      <c r="X52" s="1115"/>
      <c r="Y52" s="1115"/>
      <c r="Z52" s="1115"/>
      <c r="AA52" s="1115"/>
      <c r="AB52" s="1115"/>
      <c r="AC52" s="1115"/>
      <c r="AD52" s="1115"/>
      <c r="AE52" s="1115"/>
      <c r="AF52" s="1115"/>
    </row>
    <row r="53" spans="8:32" x14ac:dyDescent="0.25">
      <c r="H53" s="847" t="s">
        <v>760</v>
      </c>
      <c r="I53" s="847" t="s">
        <v>763</v>
      </c>
      <c r="K53" s="847" t="s">
        <v>760</v>
      </c>
      <c r="L53" s="847" t="s">
        <v>763</v>
      </c>
      <c r="Q53" s="1115"/>
      <c r="R53" s="1115"/>
      <c r="S53" s="1115"/>
      <c r="T53" s="1115"/>
      <c r="U53" s="1115"/>
      <c r="V53" s="1115"/>
      <c r="W53" s="1115"/>
      <c r="X53" s="1115"/>
      <c r="Y53" s="1115"/>
      <c r="Z53" s="1115"/>
      <c r="AA53" s="1115"/>
      <c r="AB53" s="1115"/>
      <c r="AC53" s="1115"/>
      <c r="AD53" s="1115"/>
      <c r="AE53" s="1115"/>
      <c r="AF53" s="1115"/>
    </row>
    <row r="54" spans="8:32" x14ac:dyDescent="0.25">
      <c r="H54" t="s">
        <v>127</v>
      </c>
      <c r="I54" s="823">
        <v>91.02344389869333</v>
      </c>
      <c r="K54" t="s">
        <v>127</v>
      </c>
      <c r="L54" s="823">
        <v>118.54673307940229</v>
      </c>
      <c r="Q54" s="1115"/>
      <c r="R54" s="1115"/>
      <c r="S54" s="1115"/>
      <c r="T54" s="1115"/>
      <c r="U54" s="1115"/>
      <c r="V54" s="1115"/>
      <c r="W54" s="1115"/>
      <c r="X54" s="1115"/>
      <c r="Y54" s="1115"/>
      <c r="Z54" s="1115"/>
      <c r="AA54" s="1115"/>
      <c r="AB54" s="1115"/>
      <c r="AC54" s="1115"/>
      <c r="AD54" s="1115"/>
      <c r="AE54" s="1115"/>
      <c r="AF54" s="1115"/>
    </row>
    <row r="55" spans="8:32" x14ac:dyDescent="0.25">
      <c r="H55" t="s">
        <v>128</v>
      </c>
      <c r="I55" s="823">
        <v>60.004381713043017</v>
      </c>
      <c r="K55" t="s">
        <v>133</v>
      </c>
      <c r="L55" s="823">
        <v>37.326382155936102</v>
      </c>
      <c r="Q55" s="1115"/>
      <c r="R55" s="1115"/>
      <c r="S55" s="1115"/>
      <c r="T55" s="1115"/>
      <c r="U55" s="1115"/>
      <c r="V55" s="1115"/>
      <c r="W55" s="1115"/>
      <c r="X55" s="1115"/>
      <c r="Y55" s="1115"/>
      <c r="Z55" s="1115"/>
      <c r="AA55" s="1115"/>
      <c r="AB55" s="1115"/>
      <c r="AC55" s="1115"/>
      <c r="AD55" s="1115"/>
      <c r="AE55" s="1115"/>
      <c r="AF55" s="1115"/>
    </row>
    <row r="56" spans="8:32" x14ac:dyDescent="0.25">
      <c r="H56" t="s">
        <v>296</v>
      </c>
      <c r="I56" s="823">
        <v>31.516247765473423</v>
      </c>
      <c r="K56" t="s">
        <v>295</v>
      </c>
      <c r="L56" s="823">
        <v>27.284949257003731</v>
      </c>
      <c r="Q56" s="1115"/>
      <c r="R56" s="1115"/>
      <c r="S56" s="1115"/>
      <c r="T56" s="1115"/>
      <c r="U56" s="1115"/>
      <c r="V56" s="1115"/>
      <c r="W56" s="1115"/>
      <c r="X56" s="1115"/>
      <c r="Y56" s="1115"/>
      <c r="Z56" s="1115"/>
      <c r="AA56" s="1115"/>
      <c r="AB56" s="1115"/>
      <c r="AC56" s="1115"/>
      <c r="AD56" s="1115"/>
      <c r="AE56" s="1115"/>
      <c r="AF56" s="1115"/>
    </row>
    <row r="57" spans="8:32" x14ac:dyDescent="0.25">
      <c r="H57" t="s">
        <v>295</v>
      </c>
      <c r="I57" s="823">
        <v>30.708047145715312</v>
      </c>
      <c r="K57" t="s">
        <v>136</v>
      </c>
      <c r="L57" s="823">
        <v>15.086856989401625</v>
      </c>
      <c r="Q57" s="1115"/>
      <c r="R57" s="1115"/>
      <c r="S57" s="1115"/>
      <c r="T57" s="1115"/>
      <c r="U57" s="1115"/>
      <c r="V57" s="1115"/>
      <c r="W57" s="1115"/>
      <c r="X57" s="1115"/>
      <c r="Y57" s="1115"/>
      <c r="Z57" s="1115"/>
      <c r="AA57" s="1115"/>
      <c r="AB57" s="1115"/>
      <c r="AC57" s="1115"/>
      <c r="AD57" s="1115"/>
      <c r="AE57" s="1115"/>
      <c r="AF57" s="1115"/>
    </row>
    <row r="58" spans="8:32" x14ac:dyDescent="0.25">
      <c r="H58" t="s">
        <v>131</v>
      </c>
      <c r="I58" s="823">
        <v>14.285828086092806</v>
      </c>
      <c r="K58" t="s">
        <v>134</v>
      </c>
      <c r="L58" s="823">
        <v>13.496693893426695</v>
      </c>
      <c r="Q58" s="1115"/>
      <c r="R58" s="1115"/>
      <c r="S58" s="1115"/>
      <c r="T58" s="1115"/>
      <c r="U58" s="1115"/>
      <c r="V58" s="1115"/>
      <c r="W58" s="1115"/>
      <c r="X58" s="1115"/>
      <c r="Y58" s="1115"/>
      <c r="Z58" s="1115"/>
      <c r="AA58" s="1115"/>
      <c r="AB58" s="1115"/>
      <c r="AC58" s="1115"/>
      <c r="AD58" s="1115"/>
      <c r="AE58" s="1115"/>
      <c r="AF58" s="1115"/>
    </row>
    <row r="59" spans="8:32" x14ac:dyDescent="0.25">
      <c r="H59" t="s">
        <v>129</v>
      </c>
      <c r="I59" s="823">
        <v>13.387060457660908</v>
      </c>
      <c r="K59" t="s">
        <v>132</v>
      </c>
      <c r="L59" s="823">
        <v>8.4664536741213965</v>
      </c>
      <c r="Q59" s="1115"/>
      <c r="R59" s="1115"/>
      <c r="S59" s="1115"/>
      <c r="T59" s="1115"/>
      <c r="U59" s="1115"/>
      <c r="V59" s="1115"/>
      <c r="W59" s="1115"/>
      <c r="X59" s="1115"/>
      <c r="Y59" s="1115"/>
      <c r="Z59" s="1115"/>
      <c r="AA59" s="1115"/>
      <c r="AB59" s="1115"/>
      <c r="AC59" s="1115"/>
      <c r="AD59" s="1115"/>
      <c r="AE59" s="1115"/>
      <c r="AF59" s="1115"/>
    </row>
    <row r="60" spans="8:32" x14ac:dyDescent="0.25">
      <c r="H60" t="s">
        <v>130</v>
      </c>
      <c r="I60" s="823">
        <v>13.273591831650862</v>
      </c>
      <c r="K60" t="s">
        <v>124</v>
      </c>
      <c r="L60" s="823">
        <v>2.9141878661434362</v>
      </c>
      <c r="Q60" s="1115"/>
      <c r="R60" s="1115"/>
      <c r="S60" s="1115"/>
      <c r="T60" s="1115"/>
      <c r="U60" s="1115"/>
      <c r="V60" s="1115"/>
      <c r="W60" s="1115"/>
      <c r="X60" s="1115"/>
      <c r="Y60" s="1115"/>
      <c r="Z60" s="1115"/>
      <c r="AA60" s="1115"/>
      <c r="AB60" s="1115"/>
      <c r="AC60" s="1115"/>
      <c r="AD60" s="1115"/>
      <c r="AE60" s="1115"/>
      <c r="AF60" s="1115"/>
    </row>
    <row r="61" spans="8:32" x14ac:dyDescent="0.25">
      <c r="H61" t="s">
        <v>133</v>
      </c>
      <c r="I61" s="823">
        <v>2.4284309444639405</v>
      </c>
      <c r="K61" t="s">
        <v>129</v>
      </c>
      <c r="L61" s="823">
        <v>2.136623377961115</v>
      </c>
    </row>
    <row r="62" spans="8:32" x14ac:dyDescent="0.25">
      <c r="H62" t="s">
        <v>125</v>
      </c>
      <c r="I62" s="823">
        <v>-2.2780517540121821</v>
      </c>
      <c r="K62" t="s">
        <v>128</v>
      </c>
      <c r="L62" s="823">
        <v>1.0796800743683406</v>
      </c>
    </row>
    <row r="63" spans="8:32" x14ac:dyDescent="0.25">
      <c r="H63" t="s">
        <v>126</v>
      </c>
      <c r="I63" s="823">
        <v>-5.3145385267617371</v>
      </c>
      <c r="K63" t="s">
        <v>126</v>
      </c>
      <c r="L63" s="823">
        <v>0.32604317422845952</v>
      </c>
    </row>
    <row r="64" spans="8:32" x14ac:dyDescent="0.25">
      <c r="H64" t="s">
        <v>132</v>
      </c>
      <c r="I64" s="823">
        <v>-18.910160274463323</v>
      </c>
      <c r="K64" t="s">
        <v>296</v>
      </c>
      <c r="L64" s="823">
        <v>-2.0792498428241402</v>
      </c>
    </row>
    <row r="65" spans="8:12" x14ac:dyDescent="0.25">
      <c r="H65" t="s">
        <v>134</v>
      </c>
      <c r="I65" s="823">
        <v>-60.369862783540071</v>
      </c>
      <c r="K65" t="s">
        <v>131</v>
      </c>
      <c r="L65" s="823">
        <v>-4.1653170952905327</v>
      </c>
    </row>
    <row r="66" spans="8:12" x14ac:dyDescent="0.25">
      <c r="H66" t="s">
        <v>124</v>
      </c>
      <c r="I66" s="823">
        <v>-64.153340756326656</v>
      </c>
      <c r="K66" t="s">
        <v>130</v>
      </c>
      <c r="L66" s="823">
        <v>-10.285510092024126</v>
      </c>
    </row>
    <row r="67" spans="8:12" x14ac:dyDescent="0.25">
      <c r="H67" t="s">
        <v>136</v>
      </c>
      <c r="K67" t="s">
        <v>125</v>
      </c>
      <c r="L67" s="823">
        <v>-63.084214725244117</v>
      </c>
    </row>
  </sheetData>
  <mergeCells count="4">
    <mergeCell ref="H4:L4"/>
    <mergeCell ref="O6:AD13"/>
    <mergeCell ref="H16:L16"/>
    <mergeCell ref="Q52:AF60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32</vt:i4>
      </vt:variant>
    </vt:vector>
  </HeadingPairs>
  <TitlesOfParts>
    <vt:vector size="32" baseType="lpstr">
      <vt:lpstr>allomanyi</vt:lpstr>
      <vt:lpstr>uj_hitelek</vt:lpstr>
      <vt:lpstr>allomanyi_kamatlabak</vt:lpstr>
      <vt:lpstr>uj_hitelek_kamatlabak</vt:lpstr>
      <vt:lpstr>2. ábra</vt:lpstr>
      <vt:lpstr>3. ábra</vt:lpstr>
      <vt:lpstr>4. ábra</vt:lpstr>
      <vt:lpstr>5.ábra</vt:lpstr>
      <vt:lpstr>6. ábra</vt:lpstr>
      <vt:lpstr>7. ábra</vt:lpstr>
      <vt:lpstr>8. ábra</vt:lpstr>
      <vt:lpstr>9. ábra</vt:lpstr>
      <vt:lpstr>10. ábra</vt:lpstr>
      <vt:lpstr>11. ábra</vt:lpstr>
      <vt:lpstr>12. ábra</vt:lpstr>
      <vt:lpstr>13. ábra</vt:lpstr>
      <vt:lpstr>14. ábra</vt:lpstr>
      <vt:lpstr>15. ábra</vt:lpstr>
      <vt:lpstr>16. ábra</vt:lpstr>
      <vt:lpstr>17. ábra</vt:lpstr>
      <vt:lpstr>18. ábra</vt:lpstr>
      <vt:lpstr>allomanyi_adatok_ugyfélszám_db</vt:lpstr>
      <vt:lpstr>uj_hitelek_ugyfelszam_db</vt:lpstr>
      <vt:lpstr>11. ábra_MNB_AM</vt:lpstr>
      <vt:lpstr>11.ábra_MNB_AM_English</vt:lpstr>
      <vt:lpstr>ÉLIP hitelcél szerint állomány</vt:lpstr>
      <vt:lpstr>MG ágazatok szerint</vt:lpstr>
      <vt:lpstr>ÉLIP ágazatok</vt:lpstr>
      <vt:lpstr>Idősorok_ábrák_Állományi</vt:lpstr>
      <vt:lpstr>Idősorok_ábrák_Új</vt:lpstr>
      <vt:lpstr>CR3, CR5 és CR10</vt:lpstr>
      <vt:lpstr>Hitelmegoszlás_szakág_2019Q3</vt:lpstr>
    </vt:vector>
  </TitlesOfParts>
  <Company>KD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Bakota Bettina</dc:creator>
  <cp:lastModifiedBy>Reiter Szilvia</cp:lastModifiedBy>
  <dcterms:created xsi:type="dcterms:W3CDTF">2022-05-09T07:33:53Z</dcterms:created>
  <dcterms:modified xsi:type="dcterms:W3CDTF">2025-06-16T08:45:33Z</dcterms:modified>
</cp:coreProperties>
</file>